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C:\Users\brittanys\Desktop\"/>
    </mc:Choice>
  </mc:AlternateContent>
  <xr:revisionPtr revIDLastSave="0" documentId="8_{8CB1BC47-36F9-4DE9-AEB5-BAFE0D758911}" xr6:coauthVersionLast="47" xr6:coauthVersionMax="47" xr10:uidLastSave="{00000000-0000-0000-0000-000000000000}"/>
  <bookViews>
    <workbookView xWindow="-110" yWindow="-110" windowWidth="19420" windowHeight="11620" tabRatio="667" firstSheet="9" activeTab="12" xr2:uid="{00000000-000D-0000-FFFF-FFFF00000000}"/>
  </bookViews>
  <sheets>
    <sheet name="Fire Cost" sheetId="57" state="hidden" r:id="rId1"/>
    <sheet name="Other Data" sheetId="53" state="hidden" r:id="rId2"/>
    <sheet name="Sheet4" sheetId="55" state="hidden" r:id="rId3"/>
    <sheet name="Sheet3" sheetId="54" state="hidden" r:id="rId4"/>
    <sheet name="Sheet5" sheetId="56" state="hidden" r:id="rId5"/>
    <sheet name="Water - Phase Costs Linked" sheetId="52" state="hidden" r:id="rId6"/>
    <sheet name="Population Projections" sheetId="17" r:id="rId7"/>
    <sheet name="Water - Phase Costs" sheetId="49" r:id="rId8"/>
    <sheet name="Water - Financial Model" sheetId="50" r:id="rId9"/>
    <sheet name="Water - Charge" sheetId="51" r:id="rId10"/>
    <sheet name="Wastewater - Phase Costs" sheetId="18" r:id="rId11"/>
    <sheet name="Wastewater - Financial Model" sheetId="58" r:id="rId12"/>
    <sheet name="Wastewater - Charge" sheetId="27" r:id="rId13"/>
    <sheet name="Financial Assumptions" sheetId="10" r:id="rId14"/>
    <sheet name="Escalation Factors" sheetId="3" r:id="rId15"/>
    <sheet name="Canadian Interest Rates" sheetId="44" r:id="rId16"/>
    <sheet name="BofC Bonds" sheetId="45" r:id="rId17"/>
    <sheet name="Non-Res Constr" sheetId="46" r:id="rId18"/>
    <sheet name="CPI" sheetId="47" r:id="rId19"/>
    <sheet name="Non-Res Constr raw data" sheetId="48" r:id="rId20"/>
  </sheets>
  <definedNames>
    <definedName name="ConstructionInterest">'Other Data'!$B$2</definedName>
    <definedName name="ExternalData_1" localSheetId="0" hidden="1">'Fire Cost'!$A$1:$A$2</definedName>
    <definedName name="ExternalData_1" localSheetId="3" hidden="1">Sheet3!$A$1:$B$6</definedName>
    <definedName name="ExternalData_1" localSheetId="4" hidden="1">Sheet5!$A$1:$A$2</definedName>
    <definedName name="ExternalData_2" localSheetId="2" hidden="1">Sheet4!$A$1:$AB$96</definedName>
    <definedName name="FireProtection">'Other Data'!$B$3</definedName>
    <definedName name="_xlnm.Print_Area" localSheetId="15">'Canadian Interest Rates'!$B$2:$R$100</definedName>
    <definedName name="_xlnm.Print_Area" localSheetId="13">'Financial Assumptions'!$A$1:$H$27</definedName>
    <definedName name="_xlnm.Print_Area" localSheetId="6">'Population Projections'!$A$3:$Z$16</definedName>
    <definedName name="_xlnm.Print_Area" localSheetId="12">'Wastewater - Charge'!$A$1:$F$56</definedName>
    <definedName name="_xlnm.Print_Area" localSheetId="11">'Wastewater - Financial Model'!$A$1:$L$110</definedName>
    <definedName name="_xlnm.Print_Area" localSheetId="10">'Wastewater - Phase Costs'!$B$4:$O$93</definedName>
    <definedName name="_xlnm.Print_Area" localSheetId="9">'Water - Charge'!$A$1:$F$56</definedName>
    <definedName name="_xlnm.Print_Area" localSheetId="8">'Water - Financial Model'!$A$1:$L$110</definedName>
    <definedName name="_xlnm.Print_Area" localSheetId="7">'Water - Phase Costs'!$B$1:$O$76</definedName>
    <definedName name="Query___Water_Periods" localSheetId="5" hidden="1">'Water - Phase Costs Linked'!$A$1:$S$58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 i="17" l="1"/>
  <c r="K5" i="17"/>
  <c r="I6" i="17"/>
  <c r="I7" i="17"/>
  <c r="I8" i="17"/>
  <c r="I9" i="17"/>
  <c r="I10" i="17"/>
  <c r="I5" i="17"/>
  <c r="C19" i="17" l="1"/>
  <c r="E5" i="17"/>
  <c r="G5" i="17"/>
  <c r="G22" i="17"/>
  <c r="C18" i="17"/>
  <c r="C20" i="17"/>
  <c r="E6" i="17" l="1"/>
  <c r="E7" i="17"/>
  <c r="E8" i="17"/>
  <c r="F8" i="17" s="1"/>
  <c r="E9" i="17"/>
  <c r="G9" i="17" s="1"/>
  <c r="E10" i="17"/>
  <c r="F5" i="17"/>
  <c r="F6" i="17"/>
  <c r="F7" i="17"/>
  <c r="F10" i="17"/>
  <c r="G6" i="17"/>
  <c r="G7" i="17"/>
  <c r="G10" i="17"/>
  <c r="C17" i="17"/>
  <c r="G8" i="17" l="1"/>
  <c r="F9" i="17"/>
  <c r="B32" i="27"/>
  <c r="B32" i="51"/>
  <c r="D46" i="47" l="1"/>
  <c r="L91" i="18" l="1"/>
  <c r="O80" i="18" l="1"/>
  <c r="O86" i="18"/>
  <c r="O87" i="18"/>
  <c r="O88" i="18"/>
  <c r="K75" i="18" l="1"/>
  <c r="G75" i="18"/>
  <c r="H75" i="18" s="1"/>
  <c r="K90" i="18"/>
  <c r="G89" i="18"/>
  <c r="H89" i="18" s="1"/>
  <c r="I75" i="18" l="1"/>
  <c r="J75" i="18"/>
  <c r="L75" i="18" l="1"/>
  <c r="B36" i="27" l="1"/>
  <c r="B34" i="27"/>
  <c r="B34" i="51"/>
  <c r="B36" i="51"/>
  <c r="I29" i="17" l="1"/>
  <c r="C6" i="17"/>
  <c r="C7" i="17"/>
  <c r="C8" i="17"/>
  <c r="C9" i="17"/>
  <c r="C10" i="17"/>
  <c r="C5" i="17"/>
  <c r="I30" i="17"/>
  <c r="I28" i="17"/>
  <c r="E15" i="17" l="1"/>
  <c r="D15" i="17"/>
  <c r="E30" i="46" l="1"/>
  <c r="E31" i="46"/>
  <c r="F31" i="46"/>
  <c r="F30" i="46"/>
  <c r="F28" i="46"/>
  <c r="D44" i="47"/>
  <c r="D45" i="47"/>
  <c r="D43" i="47"/>
  <c r="G15" i="18"/>
  <c r="D16" i="51"/>
  <c r="N5" i="50"/>
  <c r="N6" i="50"/>
  <c r="G13" i="18" l="1"/>
  <c r="G11" i="18"/>
  <c r="G9" i="18"/>
  <c r="G7" i="18"/>
  <c r="G16" i="49"/>
  <c r="G14" i="49"/>
  <c r="G12" i="49"/>
  <c r="G10" i="49"/>
  <c r="G8" i="49"/>
  <c r="D20" i="50"/>
  <c r="D19" i="50"/>
  <c r="D18" i="50"/>
  <c r="D20" i="58"/>
  <c r="D19" i="58"/>
  <c r="D18" i="58"/>
  <c r="D46" i="51" l="1"/>
  <c r="D46" i="27"/>
  <c r="D38" i="27"/>
  <c r="D5" i="17" l="1"/>
  <c r="D38" i="51"/>
  <c r="H5" i="17" l="1"/>
  <c r="H6" i="17" s="1"/>
  <c r="H7" i="17" s="1"/>
  <c r="B19" i="50" l="1"/>
  <c r="B23" i="50"/>
  <c r="B23" i="58"/>
  <c r="B19" i="58"/>
  <c r="B22" i="50"/>
  <c r="B18" i="50"/>
  <c r="B22" i="58"/>
  <c r="B18" i="58"/>
  <c r="D9" i="17"/>
  <c r="F74" i="49"/>
  <c r="F91" i="18"/>
  <c r="F72" i="18"/>
  <c r="C31" i="17" l="1"/>
  <c r="J29" i="17"/>
  <c r="J30" i="17"/>
  <c r="C16" i="17"/>
  <c r="G20" i="17" s="1"/>
  <c r="B95" i="58"/>
  <c r="J28" i="17"/>
  <c r="D11" i="17"/>
  <c r="J9" i="17" l="1"/>
  <c r="B100" i="58" s="1"/>
  <c r="J6" i="17"/>
  <c r="J10" i="17"/>
  <c r="J7" i="17"/>
  <c r="J5" i="17"/>
  <c r="J8" i="17"/>
  <c r="B91" i="58"/>
  <c r="B98" i="58"/>
  <c r="D28" i="51"/>
  <c r="D32" i="51" s="1"/>
  <c r="D28" i="27"/>
  <c r="D32" i="27" s="1"/>
  <c r="B99" i="58"/>
  <c r="B95" i="50"/>
  <c r="B87" i="50"/>
  <c r="B99" i="50"/>
  <c r="B91" i="50"/>
  <c r="B87" i="58"/>
  <c r="B92" i="50" l="1"/>
  <c r="B92" i="58"/>
  <c r="B96" i="50"/>
  <c r="B88" i="58"/>
  <c r="B96" i="58"/>
  <c r="B100" i="50"/>
  <c r="B88" i="50"/>
  <c r="C32" i="17"/>
  <c r="K7" i="17"/>
  <c r="K8" i="17" s="1"/>
  <c r="K9" i="17" s="1"/>
  <c r="K10" i="17" s="1"/>
  <c r="K29" i="17"/>
  <c r="L29" i="17" s="1"/>
  <c r="C21" i="17"/>
  <c r="C22" i="17" s="1"/>
  <c r="C23" i="17" s="1"/>
  <c r="K28" i="17"/>
  <c r="L28" i="17" s="1"/>
  <c r="K30" i="17"/>
  <c r="I11" i="17"/>
  <c r="D36" i="27"/>
  <c r="D34" i="27"/>
  <c r="D36" i="51"/>
  <c r="D34" i="51"/>
  <c r="B86" i="50"/>
  <c r="B90" i="50"/>
  <c r="B98" i="50"/>
  <c r="B94" i="58"/>
  <c r="B94" i="50"/>
  <c r="B90" i="58"/>
  <c r="B86" i="58"/>
  <c r="C36" i="17" l="1"/>
  <c r="C33" i="17"/>
  <c r="C34" i="17" s="1"/>
  <c r="M4" i="49"/>
  <c r="C35" i="17"/>
  <c r="D30" i="27"/>
  <c r="L30" i="17"/>
  <c r="D30" i="51"/>
  <c r="B20" i="50"/>
  <c r="B24" i="50"/>
  <c r="B20" i="58"/>
  <c r="B24" i="58"/>
  <c r="B12" i="27" l="1"/>
  <c r="B12" i="51"/>
  <c r="C24" i="17"/>
  <c r="M3" i="18"/>
  <c r="M48" i="18" s="1"/>
  <c r="D22" i="51"/>
  <c r="D20" i="51"/>
  <c r="D20" i="27"/>
  <c r="D22" i="27"/>
  <c r="M40" i="49"/>
  <c r="M39" i="49"/>
  <c r="M38" i="49"/>
  <c r="M37" i="49"/>
  <c r="M29" i="18"/>
  <c r="M38" i="18"/>
  <c r="M30" i="18"/>
  <c r="M33" i="18"/>
  <c r="M17" i="18"/>
  <c r="M68" i="49"/>
  <c r="M24" i="49"/>
  <c r="M20" i="49"/>
  <c r="M72" i="49"/>
  <c r="M48" i="49"/>
  <c r="M67" i="49"/>
  <c r="M59" i="49"/>
  <c r="M56" i="49"/>
  <c r="M43" i="49"/>
  <c r="M62" i="49"/>
  <c r="M54" i="49"/>
  <c r="M51" i="49"/>
  <c r="M57" i="49"/>
  <c r="M29" i="49"/>
  <c r="M23" i="49"/>
  <c r="M64" i="49"/>
  <c r="M31" i="49"/>
  <c r="M50" i="49"/>
  <c r="M27" i="49"/>
  <c r="M44" i="49"/>
  <c r="M30" i="49"/>
  <c r="M22" i="49"/>
  <c r="M52" i="49"/>
  <c r="M73" i="49"/>
  <c r="M71" i="49"/>
  <c r="N71" i="49" s="1"/>
  <c r="M66" i="49"/>
  <c r="M49" i="49"/>
  <c r="M26" i="49"/>
  <c r="M25" i="49"/>
  <c r="M53" i="49"/>
  <c r="M60" i="49"/>
  <c r="M61" i="49"/>
  <c r="M45" i="49"/>
  <c r="M58" i="49"/>
  <c r="N9" i="58"/>
  <c r="M55" i="18" l="1"/>
  <c r="M32" i="18"/>
  <c r="M49" i="18"/>
  <c r="M36" i="18"/>
  <c r="M26" i="18"/>
  <c r="M43" i="18"/>
  <c r="M90" i="18"/>
  <c r="M65" i="18"/>
  <c r="M21" i="18"/>
  <c r="M60" i="18"/>
  <c r="M42" i="18"/>
  <c r="M70" i="18"/>
  <c r="M34" i="18"/>
  <c r="M52" i="18"/>
  <c r="M66" i="18"/>
  <c r="M89" i="18"/>
  <c r="M37" i="18"/>
  <c r="M83" i="18"/>
  <c r="M18" i="18"/>
  <c r="M23" i="18"/>
  <c r="M40" i="18"/>
  <c r="M68" i="18"/>
  <c r="M22" i="18"/>
  <c r="M19" i="18"/>
  <c r="M20" i="18"/>
  <c r="M24" i="18"/>
  <c r="M82" i="18"/>
  <c r="M53" i="18"/>
  <c r="M25" i="18"/>
  <c r="M39" i="18"/>
  <c r="M85" i="18"/>
  <c r="M74" i="18"/>
  <c r="M67" i="18"/>
  <c r="M61" i="18"/>
  <c r="M27" i="18"/>
  <c r="M77" i="18"/>
  <c r="M44" i="18"/>
  <c r="M31" i="18"/>
  <c r="M81" i="18"/>
  <c r="M64" i="18"/>
  <c r="M57" i="18"/>
  <c r="M75" i="18"/>
  <c r="N75" i="18" s="1"/>
  <c r="O75" i="18" s="1"/>
  <c r="M76" i="18"/>
  <c r="M79" i="18"/>
  <c r="M84" i="18"/>
  <c r="M51" i="18"/>
  <c r="M45" i="18"/>
  <c r="M73" i="18"/>
  <c r="M59" i="18"/>
  <c r="M54" i="18"/>
  <c r="M47" i="18"/>
  <c r="M69" i="18"/>
  <c r="M78" i="18"/>
  <c r="M46" i="18"/>
  <c r="M41" i="18"/>
  <c r="M62" i="18"/>
  <c r="D16" i="27"/>
  <c r="N9" i="50" l="1"/>
  <c r="E11" i="17" l="1"/>
  <c r="J11" i="17"/>
  <c r="E9" i="58"/>
  <c r="E11" i="58"/>
  <c r="E13" i="58"/>
  <c r="E15" i="58"/>
  <c r="E17" i="58"/>
  <c r="H9" i="58"/>
  <c r="N6" i="58"/>
  <c r="N5" i="58"/>
  <c r="F9" i="58" l="1"/>
  <c r="F11" i="58"/>
  <c r="F13" i="58" s="1"/>
  <c r="F15" i="58" s="1"/>
  <c r="F17" i="58" s="1"/>
  <c r="I9" i="58" l="1"/>
  <c r="J9" i="58" s="1"/>
  <c r="K9" i="58" s="1"/>
  <c r="F16" i="18" l="1"/>
  <c r="F35" i="18"/>
  <c r="F50" i="18"/>
  <c r="F56" i="18"/>
  <c r="F10" i="18" l="1"/>
  <c r="H17" i="50" l="1"/>
  <c r="E17" i="50"/>
  <c r="H15" i="50"/>
  <c r="E15" i="50"/>
  <c r="H13" i="50" l="1"/>
  <c r="E13" i="50"/>
  <c r="H11" i="50"/>
  <c r="H9" i="50"/>
  <c r="E11" i="50"/>
  <c r="E9" i="50"/>
  <c r="F9" i="50" s="1"/>
  <c r="F11" i="50" l="1"/>
  <c r="I11" i="50" s="1"/>
  <c r="I9" i="50"/>
  <c r="J9" i="50" s="1"/>
  <c r="K9" i="50" s="1"/>
  <c r="H8" i="17" l="1"/>
  <c r="F13" i="50"/>
  <c r="F15" i="50" s="1"/>
  <c r="F17" i="50" s="1"/>
  <c r="H9" i="17" l="1"/>
  <c r="I13" i="50"/>
  <c r="I15" i="50"/>
  <c r="H10" i="17" l="1"/>
  <c r="B76" i="58"/>
  <c r="B80" i="58"/>
  <c r="B84" i="58"/>
  <c r="B68" i="58"/>
  <c r="B72" i="58"/>
  <c r="B76" i="50"/>
  <c r="B84" i="50"/>
  <c r="B68" i="50"/>
  <c r="B72" i="50"/>
  <c r="B80" i="50"/>
  <c r="B60" i="58"/>
  <c r="B64" i="58"/>
  <c r="B48" i="58"/>
  <c r="B52" i="58"/>
  <c r="B56" i="58"/>
  <c r="B52" i="50"/>
  <c r="B64" i="50"/>
  <c r="B60" i="50"/>
  <c r="B48" i="50"/>
  <c r="B56" i="50"/>
  <c r="I17" i="50"/>
  <c r="F11" i="17" l="1"/>
  <c r="G11" i="17"/>
  <c r="B82" i="58"/>
  <c r="B66" i="58"/>
  <c r="B78" i="58"/>
  <c r="B70" i="58"/>
  <c r="B74" i="58"/>
  <c r="B74" i="50"/>
  <c r="B78" i="50"/>
  <c r="B82" i="50"/>
  <c r="B66" i="50"/>
  <c r="B70" i="50"/>
  <c r="B39" i="58"/>
  <c r="B43" i="58"/>
  <c r="B27" i="58"/>
  <c r="B31" i="58"/>
  <c r="B35" i="58"/>
  <c r="B35" i="50"/>
  <c r="B43" i="50"/>
  <c r="B31" i="50"/>
  <c r="B39" i="50"/>
  <c r="B27" i="50"/>
  <c r="B50" i="58"/>
  <c r="B54" i="58"/>
  <c r="B62" i="58"/>
  <c r="B58" i="58"/>
  <c r="B46" i="58"/>
  <c r="B62" i="50"/>
  <c r="B50" i="50"/>
  <c r="B54" i="50"/>
  <c r="B58" i="50"/>
  <c r="B46" i="50"/>
  <c r="B71" i="58"/>
  <c r="B75" i="58"/>
  <c r="B67" i="58"/>
  <c r="B79" i="58"/>
  <c r="B83" i="58"/>
  <c r="B75" i="50"/>
  <c r="B83" i="50"/>
  <c r="B67" i="50"/>
  <c r="B71" i="50"/>
  <c r="B79" i="50"/>
  <c r="B44" i="58"/>
  <c r="B28" i="58"/>
  <c r="B32" i="58"/>
  <c r="B40" i="58"/>
  <c r="B36" i="58"/>
  <c r="B36" i="50"/>
  <c r="B40" i="50"/>
  <c r="B44" i="50"/>
  <c r="B28" i="50"/>
  <c r="B32" i="50"/>
  <c r="B55" i="58"/>
  <c r="B51" i="58"/>
  <c r="B59" i="58"/>
  <c r="B63" i="58"/>
  <c r="B47" i="58"/>
  <c r="B63" i="50"/>
  <c r="B51" i="50"/>
  <c r="B59" i="50"/>
  <c r="B47" i="50"/>
  <c r="B55" i="50"/>
  <c r="B34" i="58"/>
  <c r="B38" i="58"/>
  <c r="B42" i="58"/>
  <c r="B26" i="58"/>
  <c r="B30" i="58"/>
  <c r="B38" i="50"/>
  <c r="B34" i="50"/>
  <c r="B42" i="50"/>
  <c r="B30" i="50"/>
  <c r="B26" i="50"/>
  <c r="B105" i="50" l="1"/>
  <c r="D105" i="50" s="1"/>
  <c r="B107" i="50"/>
  <c r="D107" i="50" s="1"/>
  <c r="B107" i="58"/>
  <c r="D107" i="58" s="1"/>
  <c r="B106" i="50"/>
  <c r="D106" i="50" s="1"/>
  <c r="B105" i="58"/>
  <c r="D105" i="58" s="1"/>
  <c r="B106" i="58"/>
  <c r="D106" i="58" s="1"/>
  <c r="I3" i="18"/>
  <c r="I89" i="18" s="1"/>
  <c r="J89" i="18" s="1"/>
  <c r="L89" i="18" l="1"/>
  <c r="N89" i="18" s="1"/>
  <c r="O89" i="18" s="1"/>
  <c r="D108" i="50"/>
  <c r="D108" i="58"/>
  <c r="L59" i="52"/>
  <c r="M59" i="52"/>
  <c r="O59" i="52"/>
  <c r="Q59" i="52"/>
  <c r="R59" i="52"/>
  <c r="S59" i="52"/>
  <c r="F46" i="49"/>
  <c r="F65" i="49" l="1"/>
  <c r="F63" i="49"/>
  <c r="F28" i="49"/>
  <c r="I17" i="49"/>
  <c r="F17" i="49"/>
  <c r="H16" i="49"/>
  <c r="J16" i="49" s="1"/>
  <c r="I15" i="49"/>
  <c r="F15" i="49"/>
  <c r="H14" i="49"/>
  <c r="I13" i="49"/>
  <c r="F13" i="49"/>
  <c r="H12" i="49"/>
  <c r="I11" i="49"/>
  <c r="F11" i="49"/>
  <c r="H10" i="49"/>
  <c r="H11" i="49" s="1"/>
  <c r="I9" i="49"/>
  <c r="F9" i="49"/>
  <c r="H8" i="49"/>
  <c r="J8" i="49" s="1"/>
  <c r="I4" i="49"/>
  <c r="F76" i="49" l="1"/>
  <c r="L9" i="50"/>
  <c r="L8" i="49"/>
  <c r="L16" i="49"/>
  <c r="N16" i="49" s="1"/>
  <c r="O16" i="49" s="1"/>
  <c r="H9" i="49"/>
  <c r="H15" i="49"/>
  <c r="J14" i="49"/>
  <c r="J17" i="49"/>
  <c r="J9" i="49"/>
  <c r="J10" i="49"/>
  <c r="H17" i="49"/>
  <c r="H13" i="49"/>
  <c r="J12" i="49"/>
  <c r="N8" i="49" l="1"/>
  <c r="O8" i="49" s="1"/>
  <c r="J11" i="50"/>
  <c r="K11" i="50" s="1"/>
  <c r="L14" i="49"/>
  <c r="N14" i="49" s="1"/>
  <c r="O14" i="49" s="1"/>
  <c r="L12" i="49"/>
  <c r="L10" i="49"/>
  <c r="N10" i="49" s="1"/>
  <c r="O10" i="49" s="1"/>
  <c r="N17" i="49"/>
  <c r="L17" i="49"/>
  <c r="L9" i="49"/>
  <c r="J13" i="49"/>
  <c r="J11" i="49"/>
  <c r="J15" i="49"/>
  <c r="L11" i="50" l="1"/>
  <c r="N12" i="49"/>
  <c r="O12" i="49" s="1"/>
  <c r="O17" i="49"/>
  <c r="N9" i="49"/>
  <c r="L11" i="49"/>
  <c r="J13" i="50" l="1"/>
  <c r="K13" i="50" s="1"/>
  <c r="L13" i="50" s="1"/>
  <c r="L15" i="49"/>
  <c r="O9" i="49"/>
  <c r="L13" i="49"/>
  <c r="J15" i="50" l="1"/>
  <c r="K15" i="50" s="1"/>
  <c r="L15" i="50" s="1"/>
  <c r="N15" i="49"/>
  <c r="O15" i="49"/>
  <c r="N13" i="49"/>
  <c r="N11" i="49"/>
  <c r="O11" i="49"/>
  <c r="N8" i="18"/>
  <c r="N10" i="18"/>
  <c r="N12" i="18"/>
  <c r="N14" i="18"/>
  <c r="N16" i="18"/>
  <c r="J17" i="50" l="1"/>
  <c r="K17" i="50" s="1"/>
  <c r="L17" i="50" s="1"/>
  <c r="O13" i="49"/>
  <c r="C139" i="45" l="1"/>
  <c r="L27" i="44" l="1"/>
  <c r="H15" i="18" l="1"/>
  <c r="H16" i="18" l="1"/>
  <c r="J15" i="18"/>
  <c r="D7" i="47"/>
  <c r="D8" i="47"/>
  <c r="D9" i="47"/>
  <c r="D10" i="47"/>
  <c r="D11" i="47"/>
  <c r="D12" i="47"/>
  <c r="D13" i="47"/>
  <c r="D14" i="47"/>
  <c r="D15" i="47"/>
  <c r="D16" i="47"/>
  <c r="D17" i="47"/>
  <c r="D18" i="47"/>
  <c r="D19" i="47"/>
  <c r="D20" i="47"/>
  <c r="D21" i="47"/>
  <c r="D22" i="47"/>
  <c r="D23" i="47"/>
  <c r="D24" i="47"/>
  <c r="D49" i="47" s="1"/>
  <c r="D52" i="47" s="1"/>
  <c r="D25" i="47"/>
  <c r="D26" i="47"/>
  <c r="D27" i="47"/>
  <c r="D28" i="47"/>
  <c r="D29" i="47"/>
  <c r="D30" i="47"/>
  <c r="D31" i="47"/>
  <c r="D32" i="47"/>
  <c r="D33" i="47"/>
  <c r="D34" i="47"/>
  <c r="B35" i="47"/>
  <c r="D35" i="47"/>
  <c r="D36" i="47"/>
  <c r="D37" i="47"/>
  <c r="D38" i="47"/>
  <c r="D39" i="47"/>
  <c r="D50" i="47" s="1"/>
  <c r="D40" i="47"/>
  <c r="D41" i="47"/>
  <c r="D42" i="47"/>
  <c r="E7" i="46"/>
  <c r="F7" i="46"/>
  <c r="E8" i="46"/>
  <c r="F8" i="46"/>
  <c r="E9" i="46"/>
  <c r="F9" i="46"/>
  <c r="E10" i="46"/>
  <c r="F10" i="46"/>
  <c r="E11" i="46"/>
  <c r="F11" i="46"/>
  <c r="E12" i="46"/>
  <c r="F12" i="46"/>
  <c r="E13" i="46"/>
  <c r="F13" i="46"/>
  <c r="E14" i="46"/>
  <c r="F14" i="46"/>
  <c r="E15" i="46"/>
  <c r="F15" i="46"/>
  <c r="E16" i="46"/>
  <c r="F16" i="46"/>
  <c r="E17" i="46"/>
  <c r="F17" i="46"/>
  <c r="E18" i="46"/>
  <c r="F18" i="46"/>
  <c r="E19" i="46"/>
  <c r="F19" i="46"/>
  <c r="E20" i="46"/>
  <c r="F20" i="46"/>
  <c r="E21" i="46"/>
  <c r="F21" i="46"/>
  <c r="E22" i="46"/>
  <c r="F22" i="46"/>
  <c r="E23" i="46"/>
  <c r="F23" i="46"/>
  <c r="E24" i="46"/>
  <c r="F24" i="46"/>
  <c r="E25" i="46"/>
  <c r="F25" i="46"/>
  <c r="E26" i="46"/>
  <c r="F26" i="46"/>
  <c r="E27" i="46"/>
  <c r="F27" i="46"/>
  <c r="E28" i="46"/>
  <c r="C142" i="45"/>
  <c r="C138" i="44"/>
  <c r="D55" i="47" l="1"/>
  <c r="E36" i="46"/>
  <c r="F36" i="46"/>
  <c r="F35" i="46"/>
  <c r="F38" i="46" s="1"/>
  <c r="E41" i="46"/>
  <c r="E35" i="46"/>
  <c r="L15" i="18"/>
  <c r="O15" i="18" s="1"/>
  <c r="O16" i="18" s="1"/>
  <c r="G17" i="58" s="1"/>
  <c r="F41" i="46"/>
  <c r="H35" i="46" l="1"/>
  <c r="H36" i="46"/>
  <c r="H20" i="10"/>
  <c r="F2" i="3" s="1"/>
  <c r="E38" i="46"/>
  <c r="H41" i="46"/>
  <c r="F19" i="3" l="1"/>
  <c r="F22" i="3"/>
  <c r="F24" i="3"/>
  <c r="H38" i="46"/>
  <c r="H17" i="10" s="1"/>
  <c r="F1" i="3" s="1"/>
  <c r="B18" i="3" s="1"/>
  <c r="D18" i="3" s="1"/>
  <c r="F40" i="3"/>
  <c r="F44" i="3"/>
  <c r="F41" i="3"/>
  <c r="F42" i="3"/>
  <c r="F43" i="3"/>
  <c r="F23" i="3"/>
  <c r="F27" i="3"/>
  <c r="F31" i="3"/>
  <c r="F35" i="3"/>
  <c r="F39" i="3"/>
  <c r="F25" i="3"/>
  <c r="F33" i="3"/>
  <c r="F26" i="3"/>
  <c r="F34" i="3"/>
  <c r="F20" i="3"/>
  <c r="F28" i="3"/>
  <c r="F32" i="3"/>
  <c r="F36" i="3"/>
  <c r="F21" i="3"/>
  <c r="F29" i="3"/>
  <c r="F37" i="3"/>
  <c r="F30" i="3"/>
  <c r="F38" i="3"/>
  <c r="B36" i="3" l="1"/>
  <c r="B31" i="3"/>
  <c r="B24" i="3"/>
  <c r="B38" i="3"/>
  <c r="B41" i="3"/>
  <c r="B39" i="3"/>
  <c r="B29" i="3"/>
  <c r="B27" i="3"/>
  <c r="B21" i="3"/>
  <c r="B44" i="3"/>
  <c r="B37" i="3"/>
  <c r="B20" i="3"/>
  <c r="B22" i="3"/>
  <c r="B32" i="3"/>
  <c r="B30" i="3"/>
  <c r="B40" i="3"/>
  <c r="B19" i="3"/>
  <c r="B26" i="3"/>
  <c r="B34" i="3"/>
  <c r="B42" i="3"/>
  <c r="B28" i="3"/>
  <c r="B35" i="3"/>
  <c r="B33" i="3"/>
  <c r="B23" i="3"/>
  <c r="B25" i="3"/>
  <c r="B43" i="3"/>
  <c r="G18" i="18"/>
  <c r="H18" i="18" s="1"/>
  <c r="I18" i="18" s="1"/>
  <c r="J18" i="18" s="1"/>
  <c r="L18" i="18" s="1"/>
  <c r="N18" i="18" s="1"/>
  <c r="O18" i="18" s="1"/>
  <c r="G17" i="18"/>
  <c r="H17" i="18" s="1"/>
  <c r="I17" i="18" s="1"/>
  <c r="D99" i="50"/>
  <c r="D99" i="58"/>
  <c r="D100" i="58"/>
  <c r="D100" i="50"/>
  <c r="D98" i="50"/>
  <c r="D98" i="58"/>
  <c r="D80" i="58"/>
  <c r="D79" i="58"/>
  <c r="D78" i="50"/>
  <c r="D80" i="50"/>
  <c r="D79" i="50"/>
  <c r="D78" i="58"/>
  <c r="D87" i="50"/>
  <c r="D86" i="58"/>
  <c r="D86" i="50"/>
  <c r="D88" i="58"/>
  <c r="D88" i="50"/>
  <c r="D87" i="58"/>
  <c r="D42" i="50"/>
  <c r="D43" i="50"/>
  <c r="D44" i="58"/>
  <c r="D44" i="50"/>
  <c r="D43" i="58"/>
  <c r="D42" i="58"/>
  <c r="D68" i="50"/>
  <c r="D67" i="58"/>
  <c r="D66" i="58"/>
  <c r="D67" i="50"/>
  <c r="D66" i="50"/>
  <c r="D68" i="58"/>
  <c r="D64" i="58"/>
  <c r="D64" i="50"/>
  <c r="D63" i="58"/>
  <c r="D63" i="50"/>
  <c r="D62" i="58"/>
  <c r="D62" i="50"/>
  <c r="D55" i="50"/>
  <c r="D54" i="58"/>
  <c r="D54" i="50"/>
  <c r="D56" i="58"/>
  <c r="D56" i="50"/>
  <c r="D55" i="58"/>
  <c r="D90" i="50"/>
  <c r="D92" i="58"/>
  <c r="D92" i="50"/>
  <c r="D91" i="58"/>
  <c r="D91" i="50"/>
  <c r="D90" i="58"/>
  <c r="D26" i="50"/>
  <c r="D27" i="50"/>
  <c r="D28" i="58"/>
  <c r="D28" i="50"/>
  <c r="D27" i="58"/>
  <c r="D26" i="58"/>
  <c r="D71" i="50"/>
  <c r="D70" i="58"/>
  <c r="D72" i="50"/>
  <c r="D70" i="50"/>
  <c r="D72" i="58"/>
  <c r="D71" i="58"/>
  <c r="D36" i="50"/>
  <c r="D35" i="58"/>
  <c r="D35" i="50"/>
  <c r="D34" i="58"/>
  <c r="D34" i="50"/>
  <c r="D36" i="58"/>
  <c r="D48" i="58"/>
  <c r="D48" i="50"/>
  <c r="D47" i="58"/>
  <c r="D47" i="50"/>
  <c r="D46" i="58"/>
  <c r="D46" i="50"/>
  <c r="D84" i="50"/>
  <c r="D83" i="58"/>
  <c r="D82" i="58"/>
  <c r="D83" i="50"/>
  <c r="D82" i="50"/>
  <c r="D84" i="58"/>
  <c r="D74" i="50"/>
  <c r="D76" i="58"/>
  <c r="D76" i="50"/>
  <c r="D75" i="58"/>
  <c r="D75" i="50"/>
  <c r="D74" i="58"/>
  <c r="G34" i="18"/>
  <c r="H34" i="18" s="1"/>
  <c r="I34" i="18" s="1"/>
  <c r="J34" i="18" s="1"/>
  <c r="L34" i="18" s="1"/>
  <c r="N34" i="18" s="1"/>
  <c r="O34" i="18" s="1"/>
  <c r="G30" i="18"/>
  <c r="H30" i="18" s="1"/>
  <c r="G26" i="18"/>
  <c r="H26" i="18" s="1"/>
  <c r="I26" i="18" s="1"/>
  <c r="J26" i="18" s="1"/>
  <c r="L26" i="18" s="1"/>
  <c r="N26" i="18" s="1"/>
  <c r="O26" i="18" s="1"/>
  <c r="G22" i="18"/>
  <c r="H22" i="18" s="1"/>
  <c r="I22" i="18" s="1"/>
  <c r="J22" i="18" s="1"/>
  <c r="L22" i="18" s="1"/>
  <c r="N22" i="18" s="1"/>
  <c r="O22" i="18" s="1"/>
  <c r="G24" i="49"/>
  <c r="H24" i="49" s="1"/>
  <c r="I24" i="49" s="1"/>
  <c r="J24" i="49" s="1"/>
  <c r="L24" i="49" s="1"/>
  <c r="N24" i="49" s="1"/>
  <c r="O24" i="49" s="1"/>
  <c r="G20" i="49"/>
  <c r="H20" i="49" s="1"/>
  <c r="I20" i="49" s="1"/>
  <c r="J20" i="49" s="1"/>
  <c r="L20" i="49" s="1"/>
  <c r="N20" i="49" s="1"/>
  <c r="G27" i="18"/>
  <c r="H27" i="18" s="1"/>
  <c r="I27" i="18" s="1"/>
  <c r="J27" i="18" s="1"/>
  <c r="L27" i="18" s="1"/>
  <c r="N27" i="18" s="1"/>
  <c r="O27" i="18" s="1"/>
  <c r="G19" i="18"/>
  <c r="H19" i="18" s="1"/>
  <c r="I19" i="18" s="1"/>
  <c r="J19" i="18" s="1"/>
  <c r="L19" i="18" s="1"/>
  <c r="G21" i="49"/>
  <c r="H21" i="49" s="1"/>
  <c r="I21" i="49" s="1"/>
  <c r="J21" i="49" s="1"/>
  <c r="L21" i="49" s="1"/>
  <c r="N21" i="49" s="1"/>
  <c r="O21" i="49" s="1"/>
  <c r="G33" i="18"/>
  <c r="H33" i="18" s="1"/>
  <c r="I33" i="18" s="1"/>
  <c r="J33" i="18" s="1"/>
  <c r="L33" i="18" s="1"/>
  <c r="N33" i="18" s="1"/>
  <c r="G29" i="18"/>
  <c r="H29" i="18" s="1"/>
  <c r="I29" i="18" s="1"/>
  <c r="J29" i="18" s="1"/>
  <c r="L29" i="18" s="1"/>
  <c r="N29" i="18" s="1"/>
  <c r="O29" i="18" s="1"/>
  <c r="G25" i="18"/>
  <c r="H25" i="18" s="1"/>
  <c r="I25" i="18" s="1"/>
  <c r="J25" i="18" s="1"/>
  <c r="L25" i="18" s="1"/>
  <c r="N25" i="18" s="1"/>
  <c r="O25" i="18" s="1"/>
  <c r="G21" i="18"/>
  <c r="H21" i="18" s="1"/>
  <c r="I21" i="18" s="1"/>
  <c r="J21" i="18" s="1"/>
  <c r="L21" i="18" s="1"/>
  <c r="N21" i="18" s="1"/>
  <c r="O21" i="18" s="1"/>
  <c r="G27" i="49"/>
  <c r="H27" i="49" s="1"/>
  <c r="I27" i="49" s="1"/>
  <c r="J27" i="49" s="1"/>
  <c r="L27" i="49" s="1"/>
  <c r="N27" i="49" s="1"/>
  <c r="O27" i="49" s="1"/>
  <c r="G23" i="49"/>
  <c r="H23" i="49" s="1"/>
  <c r="I23" i="49" s="1"/>
  <c r="J23" i="49" s="1"/>
  <c r="L23" i="49" s="1"/>
  <c r="N23" i="49" s="1"/>
  <c r="G19" i="49"/>
  <c r="H19" i="49" s="1"/>
  <c r="I19" i="49" s="1"/>
  <c r="J19" i="49" s="1"/>
  <c r="L19" i="49" s="1"/>
  <c r="N19" i="49" s="1"/>
  <c r="G32" i="18"/>
  <c r="H32" i="18" s="1"/>
  <c r="I32" i="18" s="1"/>
  <c r="J32" i="18" s="1"/>
  <c r="L32" i="18" s="1"/>
  <c r="N32" i="18" s="1"/>
  <c r="O32" i="18" s="1"/>
  <c r="G28" i="18"/>
  <c r="H28" i="18" s="1"/>
  <c r="I28" i="18" s="1"/>
  <c r="J28" i="18" s="1"/>
  <c r="G24" i="18"/>
  <c r="H24" i="18" s="1"/>
  <c r="I24" i="18" s="1"/>
  <c r="J24" i="18" s="1"/>
  <c r="G20" i="18"/>
  <c r="H20" i="18" s="1"/>
  <c r="I20" i="18" s="1"/>
  <c r="J20" i="18" s="1"/>
  <c r="L20" i="18" s="1"/>
  <c r="N20" i="18" s="1"/>
  <c r="O20" i="18" s="1"/>
  <c r="G26" i="49"/>
  <c r="H26" i="49" s="1"/>
  <c r="I26" i="49" s="1"/>
  <c r="J26" i="49" s="1"/>
  <c r="L26" i="49" s="1"/>
  <c r="N26" i="49" s="1"/>
  <c r="O26" i="49" s="1"/>
  <c r="G22" i="49"/>
  <c r="H22" i="49" s="1"/>
  <c r="I22" i="49" s="1"/>
  <c r="J22" i="49" s="1"/>
  <c r="L22" i="49" s="1"/>
  <c r="N22" i="49" s="1"/>
  <c r="O22" i="49" s="1"/>
  <c r="G18" i="49"/>
  <c r="H18" i="49" s="1"/>
  <c r="I18" i="49" s="1"/>
  <c r="G31" i="18"/>
  <c r="H31" i="18" s="1"/>
  <c r="I31" i="18" s="1"/>
  <c r="J31" i="18" s="1"/>
  <c r="L31" i="18" s="1"/>
  <c r="N31" i="18" s="1"/>
  <c r="G23" i="18"/>
  <c r="H23" i="18" s="1"/>
  <c r="I23" i="18" s="1"/>
  <c r="J23" i="18" s="1"/>
  <c r="L23" i="18" s="1"/>
  <c r="N23" i="18" s="1"/>
  <c r="O23" i="18" s="1"/>
  <c r="G25" i="49"/>
  <c r="H25" i="49" s="1"/>
  <c r="I25" i="49" s="1"/>
  <c r="J25" i="49" s="1"/>
  <c r="L25" i="49" s="1"/>
  <c r="N25" i="49" s="1"/>
  <c r="O25" i="49" s="1"/>
  <c r="D39" i="50"/>
  <c r="D38" i="58"/>
  <c r="D38" i="50"/>
  <c r="D40" i="58"/>
  <c r="D40" i="50"/>
  <c r="D39" i="58"/>
  <c r="D96" i="58"/>
  <c r="D95" i="58"/>
  <c r="D96" i="50"/>
  <c r="D95" i="50"/>
  <c r="D94" i="58"/>
  <c r="D94" i="50"/>
  <c r="D32" i="58"/>
  <c r="D30" i="50"/>
  <c r="D32" i="50"/>
  <c r="D31" i="58"/>
  <c r="D31" i="50"/>
  <c r="D30" i="58"/>
  <c r="D52" i="50"/>
  <c r="D51" i="58"/>
  <c r="D51" i="50"/>
  <c r="D50" i="58"/>
  <c r="D50" i="50"/>
  <c r="D52" i="58"/>
  <c r="D58" i="50"/>
  <c r="D59" i="50"/>
  <c r="D60" i="58"/>
  <c r="D60" i="50"/>
  <c r="D59" i="58"/>
  <c r="D58" i="58"/>
  <c r="D23" i="50"/>
  <c r="D22" i="58"/>
  <c r="D22" i="50"/>
  <c r="D24" i="58"/>
  <c r="D24" i="50"/>
  <c r="D23" i="58"/>
  <c r="I30" i="18"/>
  <c r="J30" i="18" s="1"/>
  <c r="L30" i="18" s="1"/>
  <c r="N30" i="18" s="1"/>
  <c r="O30" i="18" s="1"/>
  <c r="D26" i="3" l="1"/>
  <c r="D24" i="3"/>
  <c r="D22" i="3"/>
  <c r="D28" i="3"/>
  <c r="D20" i="3"/>
  <c r="G57" i="18"/>
  <c r="H57" i="18" s="1"/>
  <c r="I57" i="18" s="1"/>
  <c r="G60" i="18"/>
  <c r="H60" i="18" s="1"/>
  <c r="I60" i="18" s="1"/>
  <c r="J60" i="18" s="1"/>
  <c r="L60" i="18" s="1"/>
  <c r="N60" i="18" s="1"/>
  <c r="O60" i="18" s="1"/>
  <c r="G59" i="18"/>
  <c r="H59" i="18" s="1"/>
  <c r="I59" i="18" s="1"/>
  <c r="J59" i="18" s="1"/>
  <c r="L59" i="18" s="1"/>
  <c r="N59" i="18" s="1"/>
  <c r="G64" i="49"/>
  <c r="H64" i="49" s="1"/>
  <c r="H65" i="49" s="1"/>
  <c r="G69" i="18"/>
  <c r="H69" i="18" s="1"/>
  <c r="I69" i="18" s="1"/>
  <c r="J69" i="18" s="1"/>
  <c r="L69" i="18" s="1"/>
  <c r="N69" i="18" s="1"/>
  <c r="O69" i="18" s="1"/>
  <c r="G66" i="18"/>
  <c r="H66" i="18" s="1"/>
  <c r="I66" i="18" s="1"/>
  <c r="J66" i="18" s="1"/>
  <c r="L66" i="18" s="1"/>
  <c r="N66" i="18" s="1"/>
  <c r="O66" i="18" s="1"/>
  <c r="G71" i="18"/>
  <c r="H71" i="18" s="1"/>
  <c r="I71" i="18" s="1"/>
  <c r="J71" i="18" s="1"/>
  <c r="L71" i="18" s="1"/>
  <c r="N71" i="18" s="1"/>
  <c r="O71" i="18" s="1"/>
  <c r="G70" i="18"/>
  <c r="H70" i="18" s="1"/>
  <c r="I70" i="18" s="1"/>
  <c r="J70" i="18" s="1"/>
  <c r="L70" i="18" s="1"/>
  <c r="N70" i="18" s="1"/>
  <c r="O70" i="18" s="1"/>
  <c r="G65" i="18"/>
  <c r="H65" i="18" s="1"/>
  <c r="I65" i="18" s="1"/>
  <c r="J65" i="18" s="1"/>
  <c r="L65" i="18" s="1"/>
  <c r="N65" i="18" s="1"/>
  <c r="O65" i="18" s="1"/>
  <c r="G68" i="18"/>
  <c r="H68" i="18" s="1"/>
  <c r="I68" i="18" s="1"/>
  <c r="J68" i="18" s="1"/>
  <c r="L68" i="18" s="1"/>
  <c r="N68" i="18" s="1"/>
  <c r="O68" i="18" s="1"/>
  <c r="G67" i="18"/>
  <c r="H67" i="18" s="1"/>
  <c r="I67" i="18" s="1"/>
  <c r="J67" i="18" s="1"/>
  <c r="L67" i="18" s="1"/>
  <c r="N67" i="18" s="1"/>
  <c r="O67" i="18" s="1"/>
  <c r="G62" i="18"/>
  <c r="H62" i="18" s="1"/>
  <c r="I62" i="18" s="1"/>
  <c r="G61" i="18"/>
  <c r="H61" i="18" s="1"/>
  <c r="I61" i="18" s="1"/>
  <c r="J61" i="18" s="1"/>
  <c r="L61" i="18" s="1"/>
  <c r="N61" i="18" s="1"/>
  <c r="O61" i="18" s="1"/>
  <c r="G64" i="18"/>
  <c r="H64" i="18" s="1"/>
  <c r="I64" i="18" s="1"/>
  <c r="J64" i="18" s="1"/>
  <c r="L64" i="18" s="1"/>
  <c r="N64" i="18" s="1"/>
  <c r="O64" i="18" s="1"/>
  <c r="G63" i="18"/>
  <c r="H63" i="18" s="1"/>
  <c r="I63" i="18" s="1"/>
  <c r="J63" i="18" s="1"/>
  <c r="L63" i="18" s="1"/>
  <c r="N63" i="18" s="1"/>
  <c r="O63" i="18" s="1"/>
  <c r="G58" i="18"/>
  <c r="H58" i="18" s="1"/>
  <c r="I58" i="18" s="1"/>
  <c r="J58" i="18" s="1"/>
  <c r="L58" i="18" s="1"/>
  <c r="N58" i="18" s="1"/>
  <c r="H28" i="49"/>
  <c r="J17" i="18"/>
  <c r="L17" i="18" s="1"/>
  <c r="N17" i="18" s="1"/>
  <c r="G87" i="18"/>
  <c r="H87" i="18" s="1"/>
  <c r="I87" i="18" s="1"/>
  <c r="J87" i="18" s="1"/>
  <c r="L87" i="18" s="1"/>
  <c r="N87" i="18" s="1"/>
  <c r="G83" i="18"/>
  <c r="H83" i="18" s="1"/>
  <c r="I83" i="18" s="1"/>
  <c r="J83" i="18" s="1"/>
  <c r="L83" i="18" s="1"/>
  <c r="N83" i="18" s="1"/>
  <c r="O83" i="18" s="1"/>
  <c r="G79" i="18"/>
  <c r="H79" i="18" s="1"/>
  <c r="I79" i="18" s="1"/>
  <c r="J79" i="18" s="1"/>
  <c r="L79" i="18" s="1"/>
  <c r="N79" i="18" s="1"/>
  <c r="O79" i="18" s="1"/>
  <c r="G74" i="18"/>
  <c r="H74" i="18" s="1"/>
  <c r="I74" i="18" s="1"/>
  <c r="G72" i="49"/>
  <c r="H72" i="49" s="1"/>
  <c r="I72" i="49" s="1"/>
  <c r="J72" i="49" s="1"/>
  <c r="L72" i="49" s="1"/>
  <c r="N72" i="49" s="1"/>
  <c r="O72" i="49" s="1"/>
  <c r="G68" i="49"/>
  <c r="H68" i="49" s="1"/>
  <c r="I68" i="49" s="1"/>
  <c r="J68" i="49" s="1"/>
  <c r="L68" i="49" s="1"/>
  <c r="N68" i="49" s="1"/>
  <c r="O68" i="49" s="1"/>
  <c r="G69" i="49"/>
  <c r="H69" i="49" s="1"/>
  <c r="I69" i="49" s="1"/>
  <c r="J69" i="49" s="1"/>
  <c r="L69" i="49" s="1"/>
  <c r="N69" i="49" s="1"/>
  <c r="G86" i="18"/>
  <c r="H86" i="18" s="1"/>
  <c r="I86" i="18" s="1"/>
  <c r="J86" i="18" s="1"/>
  <c r="L86" i="18" s="1"/>
  <c r="N86" i="18" s="1"/>
  <c r="G82" i="18"/>
  <c r="H82" i="18" s="1"/>
  <c r="I82" i="18" s="1"/>
  <c r="J82" i="18" s="1"/>
  <c r="L82" i="18" s="1"/>
  <c r="N82" i="18" s="1"/>
  <c r="O82" i="18" s="1"/>
  <c r="G78" i="18"/>
  <c r="H78" i="18" s="1"/>
  <c r="I78" i="18" s="1"/>
  <c r="J78" i="18" s="1"/>
  <c r="L78" i="18" s="1"/>
  <c r="N78" i="18" s="1"/>
  <c r="O78" i="18" s="1"/>
  <c r="G73" i="18"/>
  <c r="H73" i="18" s="1"/>
  <c r="G71" i="49"/>
  <c r="H71" i="49" s="1"/>
  <c r="I71" i="49" s="1"/>
  <c r="J71" i="49" s="1"/>
  <c r="L71" i="49" s="1"/>
  <c r="G67" i="49"/>
  <c r="H67" i="49" s="1"/>
  <c r="I67" i="49" s="1"/>
  <c r="J67" i="49" s="1"/>
  <c r="L67" i="49" s="1"/>
  <c r="N67" i="49" s="1"/>
  <c r="G90" i="18"/>
  <c r="H90" i="18" s="1"/>
  <c r="I90" i="18" s="1"/>
  <c r="J90" i="18" s="1"/>
  <c r="L90" i="18" s="1"/>
  <c r="G85" i="18"/>
  <c r="H85" i="18" s="1"/>
  <c r="I85" i="18" s="1"/>
  <c r="J85" i="18" s="1"/>
  <c r="L85" i="18" s="1"/>
  <c r="N85" i="18" s="1"/>
  <c r="O85" i="18" s="1"/>
  <c r="G81" i="18"/>
  <c r="H81" i="18" s="1"/>
  <c r="I81" i="18" s="1"/>
  <c r="J81" i="18" s="1"/>
  <c r="L81" i="18" s="1"/>
  <c r="N81" i="18" s="1"/>
  <c r="O81" i="18" s="1"/>
  <c r="G77" i="18"/>
  <c r="H77" i="18" s="1"/>
  <c r="I77" i="18" s="1"/>
  <c r="J77" i="18" s="1"/>
  <c r="L77" i="18" s="1"/>
  <c r="N77" i="18" s="1"/>
  <c r="O77" i="18" s="1"/>
  <c r="G70" i="49"/>
  <c r="H70" i="49" s="1"/>
  <c r="I70" i="49" s="1"/>
  <c r="J70" i="49" s="1"/>
  <c r="L70" i="49" s="1"/>
  <c r="N70" i="49" s="1"/>
  <c r="G66" i="49"/>
  <c r="H66" i="49" s="1"/>
  <c r="I66" i="49" s="1"/>
  <c r="G88" i="18"/>
  <c r="H88" i="18" s="1"/>
  <c r="I88" i="18" s="1"/>
  <c r="J88" i="18" s="1"/>
  <c r="L88" i="18" s="1"/>
  <c r="N88" i="18" s="1"/>
  <c r="G84" i="18"/>
  <c r="H84" i="18" s="1"/>
  <c r="I84" i="18" s="1"/>
  <c r="J84" i="18" s="1"/>
  <c r="L84" i="18" s="1"/>
  <c r="N84" i="18" s="1"/>
  <c r="O84" i="18" s="1"/>
  <c r="G80" i="18"/>
  <c r="H80" i="18" s="1"/>
  <c r="I80" i="18" s="1"/>
  <c r="J80" i="18" s="1"/>
  <c r="L80" i="18" s="1"/>
  <c r="N80" i="18" s="1"/>
  <c r="G76" i="18"/>
  <c r="H76" i="18" s="1"/>
  <c r="I76" i="18" s="1"/>
  <c r="J76" i="18" s="1"/>
  <c r="L76" i="18" s="1"/>
  <c r="N76" i="18" s="1"/>
  <c r="O76" i="18" s="1"/>
  <c r="G73" i="49"/>
  <c r="H73" i="49" s="1"/>
  <c r="I73" i="49" s="1"/>
  <c r="J73" i="49" s="1"/>
  <c r="L73" i="49" s="1"/>
  <c r="N73" i="49" s="1"/>
  <c r="G48" i="18"/>
  <c r="H48" i="18" s="1"/>
  <c r="I48" i="18" s="1"/>
  <c r="J48" i="18" s="1"/>
  <c r="L48" i="18" s="1"/>
  <c r="N48" i="18" s="1"/>
  <c r="O48" i="18" s="1"/>
  <c r="G43" i="18"/>
  <c r="H43" i="18" s="1"/>
  <c r="I43" i="18" s="1"/>
  <c r="J43" i="18" s="1"/>
  <c r="L43" i="18" s="1"/>
  <c r="N43" i="18" s="1"/>
  <c r="O43" i="18" s="1"/>
  <c r="G39" i="18"/>
  <c r="H39" i="18" s="1"/>
  <c r="I39" i="18" s="1"/>
  <c r="J39" i="18" s="1"/>
  <c r="L39" i="18" s="1"/>
  <c r="N39" i="18" s="1"/>
  <c r="O39" i="18" s="1"/>
  <c r="G45" i="49"/>
  <c r="H45" i="49" s="1"/>
  <c r="I45" i="49" s="1"/>
  <c r="J45" i="49" s="1"/>
  <c r="L45" i="49" s="1"/>
  <c r="N45" i="49" s="1"/>
  <c r="O45" i="49" s="1"/>
  <c r="G41" i="49"/>
  <c r="H41" i="49" s="1"/>
  <c r="I41" i="49" s="1"/>
  <c r="J41" i="49" s="1"/>
  <c r="L41" i="49" s="1"/>
  <c r="N41" i="49" s="1"/>
  <c r="G37" i="49"/>
  <c r="H37" i="49" s="1"/>
  <c r="I37" i="49" s="1"/>
  <c r="J37" i="49" s="1"/>
  <c r="L37" i="49" s="1"/>
  <c r="N37" i="49" s="1"/>
  <c r="O37" i="49" s="1"/>
  <c r="G33" i="49"/>
  <c r="H33" i="49" s="1"/>
  <c r="I33" i="49" s="1"/>
  <c r="J33" i="49" s="1"/>
  <c r="L33" i="49" s="1"/>
  <c r="N33" i="49" s="1"/>
  <c r="G29" i="49"/>
  <c r="H29" i="49" s="1"/>
  <c r="I29" i="49" s="1"/>
  <c r="G44" i="18"/>
  <c r="H44" i="18" s="1"/>
  <c r="I44" i="18" s="1"/>
  <c r="J44" i="18" s="1"/>
  <c r="L44" i="18" s="1"/>
  <c r="N44" i="18" s="1"/>
  <c r="O44" i="18" s="1"/>
  <c r="G36" i="18"/>
  <c r="H36" i="18" s="1"/>
  <c r="G38" i="49"/>
  <c r="H38" i="49" s="1"/>
  <c r="I38" i="49" s="1"/>
  <c r="J38" i="49" s="1"/>
  <c r="L38" i="49" s="1"/>
  <c r="N38" i="49" s="1"/>
  <c r="O38" i="49" s="1"/>
  <c r="G30" i="49"/>
  <c r="H30" i="49" s="1"/>
  <c r="I30" i="49" s="1"/>
  <c r="J30" i="49" s="1"/>
  <c r="L30" i="49" s="1"/>
  <c r="N30" i="49" s="1"/>
  <c r="O30" i="49" s="1"/>
  <c r="G47" i="18"/>
  <c r="H47" i="18" s="1"/>
  <c r="I47" i="18" s="1"/>
  <c r="J47" i="18" s="1"/>
  <c r="L47" i="18" s="1"/>
  <c r="N47" i="18" s="1"/>
  <c r="O47" i="18" s="1"/>
  <c r="G42" i="18"/>
  <c r="H42" i="18" s="1"/>
  <c r="I42" i="18" s="1"/>
  <c r="J42" i="18" s="1"/>
  <c r="L42" i="18" s="1"/>
  <c r="N42" i="18" s="1"/>
  <c r="O42" i="18" s="1"/>
  <c r="G38" i="18"/>
  <c r="H38" i="18" s="1"/>
  <c r="I38" i="18" s="1"/>
  <c r="J38" i="18" s="1"/>
  <c r="L38" i="18" s="1"/>
  <c r="N38" i="18" s="1"/>
  <c r="O38" i="18" s="1"/>
  <c r="G44" i="49"/>
  <c r="H44" i="49" s="1"/>
  <c r="I44" i="49" s="1"/>
  <c r="J44" i="49" s="1"/>
  <c r="L44" i="49" s="1"/>
  <c r="N44" i="49" s="1"/>
  <c r="O44" i="49" s="1"/>
  <c r="G40" i="49"/>
  <c r="H40" i="49" s="1"/>
  <c r="I40" i="49" s="1"/>
  <c r="J40" i="49" s="1"/>
  <c r="L40" i="49" s="1"/>
  <c r="N40" i="49" s="1"/>
  <c r="O40" i="49" s="1"/>
  <c r="G36" i="49"/>
  <c r="H36" i="49" s="1"/>
  <c r="I36" i="49" s="1"/>
  <c r="J36" i="49" s="1"/>
  <c r="L36" i="49" s="1"/>
  <c r="N36" i="49" s="1"/>
  <c r="O36" i="49" s="1"/>
  <c r="G32" i="49"/>
  <c r="H32" i="49" s="1"/>
  <c r="I32" i="49" s="1"/>
  <c r="J32" i="49" s="1"/>
  <c r="L32" i="49" s="1"/>
  <c r="N32" i="49" s="1"/>
  <c r="O32" i="49" s="1"/>
  <c r="G45" i="18"/>
  <c r="H45" i="18" s="1"/>
  <c r="I45" i="18" s="1"/>
  <c r="J45" i="18" s="1"/>
  <c r="L45" i="18" s="1"/>
  <c r="N45" i="18" s="1"/>
  <c r="O45" i="18" s="1"/>
  <c r="G41" i="18"/>
  <c r="H41" i="18" s="1"/>
  <c r="I41" i="18" s="1"/>
  <c r="J41" i="18" s="1"/>
  <c r="G37" i="18"/>
  <c r="H37" i="18" s="1"/>
  <c r="I37" i="18" s="1"/>
  <c r="J37" i="18" s="1"/>
  <c r="L37" i="18" s="1"/>
  <c r="N37" i="18" s="1"/>
  <c r="O37" i="18" s="1"/>
  <c r="G43" i="49"/>
  <c r="H43" i="49" s="1"/>
  <c r="I43" i="49" s="1"/>
  <c r="J43" i="49" s="1"/>
  <c r="L43" i="49" s="1"/>
  <c r="N43" i="49" s="1"/>
  <c r="O43" i="49" s="1"/>
  <c r="G39" i="49"/>
  <c r="H39" i="49" s="1"/>
  <c r="I39" i="49" s="1"/>
  <c r="J39" i="49" s="1"/>
  <c r="L39" i="49" s="1"/>
  <c r="N39" i="49" s="1"/>
  <c r="O39" i="49" s="1"/>
  <c r="G35" i="49"/>
  <c r="H35" i="49" s="1"/>
  <c r="I35" i="49" s="1"/>
  <c r="J35" i="49" s="1"/>
  <c r="L35" i="49" s="1"/>
  <c r="N35" i="49" s="1"/>
  <c r="O35" i="49" s="1"/>
  <c r="G31" i="49"/>
  <c r="H31" i="49" s="1"/>
  <c r="I31" i="49" s="1"/>
  <c r="J31" i="49" s="1"/>
  <c r="L31" i="49" s="1"/>
  <c r="N31" i="49" s="1"/>
  <c r="O31" i="49" s="1"/>
  <c r="G40" i="18"/>
  <c r="H40" i="18" s="1"/>
  <c r="I40" i="18" s="1"/>
  <c r="J40" i="18" s="1"/>
  <c r="L40" i="18" s="1"/>
  <c r="N40" i="18" s="1"/>
  <c r="O40" i="18" s="1"/>
  <c r="G42" i="49"/>
  <c r="H42" i="49" s="1"/>
  <c r="I42" i="49" s="1"/>
  <c r="J42" i="49" s="1"/>
  <c r="L42" i="49" s="1"/>
  <c r="N42" i="49" s="1"/>
  <c r="O42" i="49" s="1"/>
  <c r="G34" i="49"/>
  <c r="H34" i="49" s="1"/>
  <c r="I34" i="49" s="1"/>
  <c r="J34" i="49" s="1"/>
  <c r="L34" i="49" s="1"/>
  <c r="N34" i="49" s="1"/>
  <c r="G49" i="18"/>
  <c r="H49" i="18" s="1"/>
  <c r="I49" i="18" s="1"/>
  <c r="J49" i="18" s="1"/>
  <c r="L49" i="18" s="1"/>
  <c r="N49" i="18" s="1"/>
  <c r="O49" i="18" s="1"/>
  <c r="G46" i="18"/>
  <c r="H46" i="18" s="1"/>
  <c r="I46" i="18" s="1"/>
  <c r="J46" i="18" s="1"/>
  <c r="J74" i="18"/>
  <c r="L74" i="18" s="1"/>
  <c r="N74" i="18" s="1"/>
  <c r="O74" i="18" s="1"/>
  <c r="I28" i="49"/>
  <c r="J18" i="49"/>
  <c r="L18" i="49" s="1"/>
  <c r="L28" i="49" s="1"/>
  <c r="J66" i="49"/>
  <c r="O19" i="49"/>
  <c r="O23" i="49"/>
  <c r="L24" i="18"/>
  <c r="N24" i="18" s="1"/>
  <c r="O24" i="18" s="1"/>
  <c r="L28" i="18"/>
  <c r="N28" i="18" s="1"/>
  <c r="O31" i="18"/>
  <c r="N19" i="18"/>
  <c r="O19" i="18" s="1"/>
  <c r="O33" i="18"/>
  <c r="H35" i="18"/>
  <c r="I35" i="18"/>
  <c r="I12" i="18"/>
  <c r="J62" i="18" l="1"/>
  <c r="L62" i="18" s="1"/>
  <c r="N62" i="18" s="1"/>
  <c r="O62" i="18" s="1"/>
  <c r="I64" i="49"/>
  <c r="I65" i="49" s="1"/>
  <c r="O67" i="49"/>
  <c r="O59" i="18"/>
  <c r="O71" i="49"/>
  <c r="O17" i="18"/>
  <c r="O69" i="49"/>
  <c r="J57" i="18"/>
  <c r="L57" i="18" s="1"/>
  <c r="I72" i="18"/>
  <c r="H72" i="18"/>
  <c r="G54" i="49"/>
  <c r="H54" i="49" s="1"/>
  <c r="I54" i="49" s="1"/>
  <c r="J54" i="49" s="1"/>
  <c r="L54" i="49" s="1"/>
  <c r="N54" i="49" s="1"/>
  <c r="O54" i="49" s="1"/>
  <c r="G47" i="49"/>
  <c r="H47" i="49" s="1"/>
  <c r="G57" i="49"/>
  <c r="H57" i="49" s="1"/>
  <c r="I57" i="49" s="1"/>
  <c r="J57" i="49" s="1"/>
  <c r="L57" i="49" s="1"/>
  <c r="N57" i="49" s="1"/>
  <c r="O57" i="49" s="1"/>
  <c r="G60" i="49"/>
  <c r="H60" i="49" s="1"/>
  <c r="I60" i="49" s="1"/>
  <c r="J60" i="49" s="1"/>
  <c r="L60" i="49" s="1"/>
  <c r="N60" i="49" s="1"/>
  <c r="O60" i="49" s="1"/>
  <c r="G59" i="49"/>
  <c r="H59" i="49" s="1"/>
  <c r="I59" i="49" s="1"/>
  <c r="J59" i="49" s="1"/>
  <c r="L59" i="49" s="1"/>
  <c r="N59" i="49" s="1"/>
  <c r="O59" i="49" s="1"/>
  <c r="G52" i="18"/>
  <c r="H52" i="18" s="1"/>
  <c r="I52" i="18" s="1"/>
  <c r="J52" i="18" s="1"/>
  <c r="L52" i="18" s="1"/>
  <c r="N52" i="18" s="1"/>
  <c r="O52" i="18" s="1"/>
  <c r="G50" i="49"/>
  <c r="H50" i="49" s="1"/>
  <c r="I50" i="49" s="1"/>
  <c r="J50" i="49" s="1"/>
  <c r="L50" i="49" s="1"/>
  <c r="N50" i="49" s="1"/>
  <c r="O50" i="49" s="1"/>
  <c r="G55" i="18"/>
  <c r="H55" i="18" s="1"/>
  <c r="I55" i="18" s="1"/>
  <c r="J55" i="18" s="1"/>
  <c r="L55" i="18" s="1"/>
  <c r="N55" i="18" s="1"/>
  <c r="O55" i="18" s="1"/>
  <c r="G53" i="49"/>
  <c r="H53" i="49" s="1"/>
  <c r="I53" i="49" s="1"/>
  <c r="J53" i="49" s="1"/>
  <c r="L53" i="49" s="1"/>
  <c r="N53" i="49" s="1"/>
  <c r="G56" i="49"/>
  <c r="H56" i="49" s="1"/>
  <c r="I56" i="49" s="1"/>
  <c r="J56" i="49" s="1"/>
  <c r="L56" i="49" s="1"/>
  <c r="N56" i="49" s="1"/>
  <c r="G51" i="49"/>
  <c r="H51" i="49" s="1"/>
  <c r="I51" i="49" s="1"/>
  <c r="J51" i="49" s="1"/>
  <c r="L51" i="49" s="1"/>
  <c r="N51" i="49" s="1"/>
  <c r="O51" i="49" s="1"/>
  <c r="G55" i="49"/>
  <c r="H55" i="49" s="1"/>
  <c r="I55" i="49" s="1"/>
  <c r="G62" i="49"/>
  <c r="H62" i="49" s="1"/>
  <c r="I62" i="49" s="1"/>
  <c r="J62" i="49" s="1"/>
  <c r="L62" i="49" s="1"/>
  <c r="N62" i="49" s="1"/>
  <c r="O62" i="49" s="1"/>
  <c r="G53" i="18"/>
  <c r="H53" i="18" s="1"/>
  <c r="I53" i="18" s="1"/>
  <c r="J53" i="18" s="1"/>
  <c r="L53" i="18" s="1"/>
  <c r="N53" i="18" s="1"/>
  <c r="O53" i="18" s="1"/>
  <c r="G51" i="18"/>
  <c r="H51" i="18" s="1"/>
  <c r="G49" i="49"/>
  <c r="H49" i="49" s="1"/>
  <c r="I49" i="49" s="1"/>
  <c r="J49" i="49" s="1"/>
  <c r="L49" i="49" s="1"/>
  <c r="N49" i="49" s="1"/>
  <c r="G52" i="49"/>
  <c r="H52" i="49" s="1"/>
  <c r="I52" i="49" s="1"/>
  <c r="J52" i="49" s="1"/>
  <c r="L52" i="49" s="1"/>
  <c r="N52" i="49" s="1"/>
  <c r="G58" i="49"/>
  <c r="H58" i="49" s="1"/>
  <c r="I58" i="49" s="1"/>
  <c r="J58" i="49" s="1"/>
  <c r="L58" i="49" s="1"/>
  <c r="N58" i="49" s="1"/>
  <c r="O58" i="49" s="1"/>
  <c r="G61" i="49"/>
  <c r="H61" i="49" s="1"/>
  <c r="I61" i="49" s="1"/>
  <c r="J61" i="49" s="1"/>
  <c r="L61" i="49" s="1"/>
  <c r="N61" i="49" s="1"/>
  <c r="G48" i="49"/>
  <c r="H48" i="49" s="1"/>
  <c r="I48" i="49" s="1"/>
  <c r="J48" i="49" s="1"/>
  <c r="L48" i="49" s="1"/>
  <c r="N48" i="49" s="1"/>
  <c r="O48" i="49" s="1"/>
  <c r="G54" i="18"/>
  <c r="H54" i="18" s="1"/>
  <c r="I54" i="18" s="1"/>
  <c r="J54" i="18" s="1"/>
  <c r="L54" i="18" s="1"/>
  <c r="N54" i="18" s="1"/>
  <c r="O54" i="18" s="1"/>
  <c r="O70" i="49"/>
  <c r="I46" i="49"/>
  <c r="I74" i="49"/>
  <c r="I73" i="18"/>
  <c r="I91" i="18" s="1"/>
  <c r="H91" i="18"/>
  <c r="H46" i="49"/>
  <c r="O73" i="49"/>
  <c r="J74" i="49"/>
  <c r="H74" i="49"/>
  <c r="J28" i="49"/>
  <c r="L66" i="49"/>
  <c r="L74" i="49" s="1"/>
  <c r="J64" i="49"/>
  <c r="J65" i="49" s="1"/>
  <c r="N90" i="18"/>
  <c r="O90" i="18" s="1"/>
  <c r="O33" i="49"/>
  <c r="O58" i="18"/>
  <c r="J29" i="49"/>
  <c r="L29" i="49" s="1"/>
  <c r="L46" i="18"/>
  <c r="N46" i="18" s="1"/>
  <c r="L41" i="18"/>
  <c r="N41" i="18" s="1"/>
  <c r="O41" i="18" s="1"/>
  <c r="N18" i="49"/>
  <c r="O34" i="49"/>
  <c r="O41" i="49"/>
  <c r="O28" i="18"/>
  <c r="H50" i="18"/>
  <c r="I36" i="18"/>
  <c r="J35" i="18"/>
  <c r="J72" i="18" l="1"/>
  <c r="O56" i="49"/>
  <c r="O49" i="49"/>
  <c r="O18" i="49"/>
  <c r="O61" i="49"/>
  <c r="O52" i="49"/>
  <c r="I51" i="18"/>
  <c r="H56" i="18"/>
  <c r="O53" i="49"/>
  <c r="J55" i="49"/>
  <c r="L55" i="49" s="1"/>
  <c r="I47" i="49"/>
  <c r="H63" i="49"/>
  <c r="H76" i="49" s="1"/>
  <c r="H77" i="49" s="1"/>
  <c r="D4" i="51" s="1"/>
  <c r="J73" i="18"/>
  <c r="L64" i="49"/>
  <c r="L65" i="49" s="1"/>
  <c r="N66" i="49"/>
  <c r="N74" i="49" s="1"/>
  <c r="J46" i="49"/>
  <c r="L72" i="18"/>
  <c r="N57" i="18"/>
  <c r="N72" i="18" s="1"/>
  <c r="N29" i="49"/>
  <c r="L46" i="49"/>
  <c r="O46" i="18"/>
  <c r="L35" i="18"/>
  <c r="J36" i="18"/>
  <c r="I50" i="18"/>
  <c r="H9" i="18"/>
  <c r="J9" i="18" s="1"/>
  <c r="F12" i="18"/>
  <c r="I16" i="18"/>
  <c r="J16" i="18"/>
  <c r="H13" i="18"/>
  <c r="J13" i="18" s="1"/>
  <c r="J47" i="49" l="1"/>
  <c r="I63" i="49"/>
  <c r="I76" i="49" s="1"/>
  <c r="I77" i="49" s="1"/>
  <c r="D6" i="51" s="1"/>
  <c r="D8" i="51" s="1"/>
  <c r="J51" i="18"/>
  <c r="I56" i="18"/>
  <c r="J91" i="18"/>
  <c r="L73" i="18"/>
  <c r="N64" i="49"/>
  <c r="O64" i="49" s="1"/>
  <c r="O65" i="49" s="1"/>
  <c r="G77" i="50" s="1"/>
  <c r="O66" i="49"/>
  <c r="N55" i="49"/>
  <c r="O55" i="49" s="1"/>
  <c r="O57" i="18"/>
  <c r="O72" i="18" s="1"/>
  <c r="G77" i="58" s="1"/>
  <c r="N46" i="49"/>
  <c r="O29" i="49"/>
  <c r="O46" i="49" s="1"/>
  <c r="L13" i="18"/>
  <c r="O13" i="18" s="1"/>
  <c r="L9" i="18"/>
  <c r="O9" i="18" s="1"/>
  <c r="L36" i="18"/>
  <c r="J50" i="18"/>
  <c r="H11" i="18"/>
  <c r="H7" i="18"/>
  <c r="I10" i="18"/>
  <c r="G69" i="50" l="1"/>
  <c r="G85" i="50"/>
  <c r="L51" i="18"/>
  <c r="N51" i="18" s="1"/>
  <c r="N56" i="18" s="1"/>
  <c r="J56" i="18"/>
  <c r="L47" i="49"/>
  <c r="J63" i="49"/>
  <c r="J76" i="49" s="1"/>
  <c r="J77" i="49" s="1"/>
  <c r="N73" i="18"/>
  <c r="G81" i="50"/>
  <c r="G73" i="50"/>
  <c r="N65" i="49"/>
  <c r="O74" i="49"/>
  <c r="G97" i="50" s="1"/>
  <c r="G81" i="58"/>
  <c r="G69" i="58"/>
  <c r="G85" i="58"/>
  <c r="G73" i="58"/>
  <c r="G45" i="50"/>
  <c r="G41" i="50"/>
  <c r="G37" i="50"/>
  <c r="G29" i="50"/>
  <c r="G33" i="50"/>
  <c r="N35" i="18"/>
  <c r="N36" i="18"/>
  <c r="L50" i="18"/>
  <c r="H12" i="18"/>
  <c r="J11" i="18"/>
  <c r="J7" i="18"/>
  <c r="I14" i="18"/>
  <c r="F14" i="18"/>
  <c r="H14" i="18"/>
  <c r="I8" i="18"/>
  <c r="N91" i="18" l="1"/>
  <c r="O73" i="18"/>
  <c r="O91" i="18" s="1"/>
  <c r="N47" i="49"/>
  <c r="L63" i="49"/>
  <c r="L76" i="49" s="1"/>
  <c r="L56" i="18"/>
  <c r="O51" i="18"/>
  <c r="O56" i="18" s="1"/>
  <c r="G93" i="50"/>
  <c r="G89" i="50"/>
  <c r="G101" i="50"/>
  <c r="I93" i="18"/>
  <c r="I94" i="18" s="1"/>
  <c r="D6" i="27" s="1"/>
  <c r="O35" i="18"/>
  <c r="O36" i="18"/>
  <c r="O50" i="18" s="1"/>
  <c r="N50" i="18"/>
  <c r="N93" i="18" s="1"/>
  <c r="N94" i="18" s="1"/>
  <c r="L7" i="18"/>
  <c r="L11" i="18"/>
  <c r="O11" i="18" s="1"/>
  <c r="J12" i="18"/>
  <c r="J14" i="18"/>
  <c r="O93" i="18" l="1"/>
  <c r="O94" i="18" s="1"/>
  <c r="G101" i="58"/>
  <c r="L77" i="49"/>
  <c r="D10" i="51" s="1"/>
  <c r="O47" i="49"/>
  <c r="O63" i="49" s="1"/>
  <c r="N63" i="49"/>
  <c r="G49" i="58"/>
  <c r="G65" i="58"/>
  <c r="G53" i="58"/>
  <c r="G61" i="58"/>
  <c r="G57" i="58"/>
  <c r="O7" i="18"/>
  <c r="G37" i="58"/>
  <c r="G33" i="58"/>
  <c r="G45" i="58"/>
  <c r="G29" i="58"/>
  <c r="G41" i="58"/>
  <c r="G21" i="58"/>
  <c r="G25" i="58"/>
  <c r="G89" i="58" l="1"/>
  <c r="G97" i="58"/>
  <c r="G93" i="58"/>
  <c r="D12" i="27"/>
  <c r="G61" i="50"/>
  <c r="G49" i="50"/>
  <c r="G57" i="50"/>
  <c r="G65" i="50"/>
  <c r="G53" i="50"/>
  <c r="H8" i="18"/>
  <c r="F8" i="18" l="1"/>
  <c r="F93" i="18" s="1"/>
  <c r="J8" i="18"/>
  <c r="H10" i="18" l="1"/>
  <c r="H93" i="18" s="1"/>
  <c r="H94" i="18" l="1"/>
  <c r="D4" i="27" s="1"/>
  <c r="D8" i="27" s="1"/>
  <c r="J10" i="18"/>
  <c r="J93" i="18" s="1"/>
  <c r="J94" i="18" s="1"/>
  <c r="O10" i="18" l="1"/>
  <c r="G11" i="58" s="1"/>
  <c r="G103" i="58" s="1"/>
  <c r="L10" i="18"/>
  <c r="L16" i="18"/>
  <c r="O12" i="18"/>
  <c r="L12" i="18"/>
  <c r="L8" i="18"/>
  <c r="O8" i="18"/>
  <c r="O14" i="18"/>
  <c r="L14" i="18"/>
  <c r="L93" i="18" l="1"/>
  <c r="L94" i="18" s="1"/>
  <c r="D10" i="27" s="1"/>
  <c r="H11" i="58"/>
  <c r="I11" i="58" s="1"/>
  <c r="D14" i="27" l="1"/>
  <c r="D18" i="27" s="1"/>
  <c r="H13" i="58"/>
  <c r="D26" i="27" l="1"/>
  <c r="D24" i="27"/>
  <c r="H15" i="58"/>
  <c r="H17" i="58" s="1"/>
  <c r="I13" i="58"/>
  <c r="N28" i="49"/>
  <c r="O20" i="49"/>
  <c r="N76" i="49" l="1"/>
  <c r="I17" i="58"/>
  <c r="H21" i="58"/>
  <c r="D44" i="27"/>
  <c r="D48" i="27" s="1"/>
  <c r="D40" i="27"/>
  <c r="O40" i="27" s="1"/>
  <c r="D42" i="27"/>
  <c r="O41" i="27" s="1"/>
  <c r="I15" i="58"/>
  <c r="O28" i="49"/>
  <c r="O76" i="49" s="1"/>
  <c r="D49" i="27" l="1"/>
  <c r="O42" i="27"/>
  <c r="O43" i="27" s="1"/>
  <c r="O77" i="49"/>
  <c r="N77" i="49"/>
  <c r="D12" i="51" s="1"/>
  <c r="I41" i="27"/>
  <c r="K41" i="27"/>
  <c r="M41" i="27"/>
  <c r="N41" i="27"/>
  <c r="J41" i="27"/>
  <c r="L41" i="27"/>
  <c r="I40" i="27"/>
  <c r="J40" i="27"/>
  <c r="M40" i="27"/>
  <c r="N40" i="27"/>
  <c r="L40" i="27"/>
  <c r="K40" i="27"/>
  <c r="E91" i="58"/>
  <c r="E66" i="58"/>
  <c r="E52" i="58"/>
  <c r="E30" i="58"/>
  <c r="E78" i="58"/>
  <c r="E70" i="58"/>
  <c r="E94" i="58"/>
  <c r="E74" i="58"/>
  <c r="E58" i="58"/>
  <c r="E99" i="58"/>
  <c r="E54" i="58"/>
  <c r="E82" i="58"/>
  <c r="E31" i="58"/>
  <c r="E46" i="58"/>
  <c r="E26" i="58"/>
  <c r="E90" i="58"/>
  <c r="E86" i="58"/>
  <c r="E35" i="58"/>
  <c r="E79" i="58"/>
  <c r="E62" i="58"/>
  <c r="E42" i="58"/>
  <c r="E38" i="58"/>
  <c r="E50" i="58"/>
  <c r="E51" i="58"/>
  <c r="E71" i="58"/>
  <c r="E87" i="58"/>
  <c r="E95" i="58"/>
  <c r="E75" i="58"/>
  <c r="E34" i="58"/>
  <c r="E98" i="58"/>
  <c r="E24" i="58"/>
  <c r="E18" i="58"/>
  <c r="E22" i="58"/>
  <c r="E19" i="58"/>
  <c r="E67" i="58"/>
  <c r="E47" i="58"/>
  <c r="E27" i="58"/>
  <c r="E23" i="58"/>
  <c r="E83" i="58"/>
  <c r="E63" i="58"/>
  <c r="E43" i="58"/>
  <c r="E55" i="58"/>
  <c r="E59" i="58"/>
  <c r="E39" i="58"/>
  <c r="H25" i="58"/>
  <c r="H29" i="58" s="1"/>
  <c r="H33" i="58" s="1"/>
  <c r="H37" i="58" s="1"/>
  <c r="H41" i="58" s="1"/>
  <c r="H45" i="58" s="1"/>
  <c r="H49" i="58" s="1"/>
  <c r="H53" i="58" s="1"/>
  <c r="H57" i="58" s="1"/>
  <c r="H61" i="58" s="1"/>
  <c r="H65" i="58" s="1"/>
  <c r="H69" i="58" s="1"/>
  <c r="H73" i="58" s="1"/>
  <c r="H77" i="58" s="1"/>
  <c r="H81" i="58" s="1"/>
  <c r="H85" i="58" s="1"/>
  <c r="H89" i="58" s="1"/>
  <c r="H93" i="58" s="1"/>
  <c r="G21" i="50"/>
  <c r="G25" i="50"/>
  <c r="D14" i="51" l="1"/>
  <c r="D18" i="51" s="1"/>
  <c r="E44" i="58"/>
  <c r="E45" i="58" s="1"/>
  <c r="E92" i="58"/>
  <c r="E93" i="58" s="1"/>
  <c r="E32" i="58"/>
  <c r="E33" i="58" s="1"/>
  <c r="I42" i="27"/>
  <c r="I43" i="27" s="1"/>
  <c r="N42" i="27"/>
  <c r="N43" i="27" s="1"/>
  <c r="J42" i="27"/>
  <c r="J43" i="27" s="1"/>
  <c r="M42" i="27"/>
  <c r="M43" i="27" s="1"/>
  <c r="K42" i="27"/>
  <c r="K43" i="27" s="1"/>
  <c r="L42" i="27"/>
  <c r="L43" i="27" s="1"/>
  <c r="E68" i="58"/>
  <c r="E69" i="58" s="1"/>
  <c r="E80" i="58"/>
  <c r="E81" i="58" s="1"/>
  <c r="E72" i="58"/>
  <c r="E73" i="58" s="1"/>
  <c r="E100" i="58"/>
  <c r="E101" i="58" s="1"/>
  <c r="E28" i="58"/>
  <c r="E29" i="58" s="1"/>
  <c r="E76" i="58"/>
  <c r="E77" i="58" s="1"/>
  <c r="E56" i="58"/>
  <c r="E57" i="58" s="1"/>
  <c r="E36" i="58"/>
  <c r="E37" i="58" s="1"/>
  <c r="E20" i="58"/>
  <c r="E21" i="58" s="1"/>
  <c r="F21" i="58" s="1"/>
  <c r="I21" i="58" s="1"/>
  <c r="E84" i="58"/>
  <c r="E85" i="58" s="1"/>
  <c r="E48" i="58"/>
  <c r="E49" i="58" s="1"/>
  <c r="E96" i="58"/>
  <c r="E97" i="58" s="1"/>
  <c r="E60" i="58"/>
  <c r="E61" i="58" s="1"/>
  <c r="E40" i="58"/>
  <c r="E41" i="58" s="1"/>
  <c r="E64" i="58"/>
  <c r="E65" i="58" s="1"/>
  <c r="E88" i="58"/>
  <c r="E89" i="58" s="1"/>
  <c r="E53" i="58"/>
  <c r="E25" i="58"/>
  <c r="H97" i="58"/>
  <c r="H101" i="58" s="1"/>
  <c r="G108" i="58" s="1"/>
  <c r="G103" i="50"/>
  <c r="H21" i="50"/>
  <c r="H25" i="50" s="1"/>
  <c r="H29" i="50" s="1"/>
  <c r="H33" i="50" s="1"/>
  <c r="H37" i="50" s="1"/>
  <c r="H41" i="50" s="1"/>
  <c r="H45" i="50" s="1"/>
  <c r="H49" i="50" s="1"/>
  <c r="H53" i="50" s="1"/>
  <c r="H57" i="50" s="1"/>
  <c r="H61" i="50" s="1"/>
  <c r="H65" i="50" s="1"/>
  <c r="H69" i="50" s="1"/>
  <c r="H73" i="50" s="1"/>
  <c r="H77" i="50" s="1"/>
  <c r="H81" i="50" s="1"/>
  <c r="H85" i="50" s="1"/>
  <c r="H89" i="50" s="1"/>
  <c r="H93" i="50" s="1"/>
  <c r="H97" i="50" s="1"/>
  <c r="H101" i="50" s="1"/>
  <c r="G108" i="50" s="1"/>
  <c r="F25" i="58" l="1"/>
  <c r="E103" i="58"/>
  <c r="D26" i="51"/>
  <c r="D44" i="51" s="1"/>
  <c r="D24" i="51"/>
  <c r="D42" i="51" l="1"/>
  <c r="O41" i="51" s="1"/>
  <c r="D40" i="51"/>
  <c r="O40" i="51" s="1"/>
  <c r="F29" i="58"/>
  <c r="I29" i="58" s="1"/>
  <c r="I25" i="58"/>
  <c r="D48" i="51"/>
  <c r="O42" i="51" s="1"/>
  <c r="O43" i="51" s="1"/>
  <c r="F33" i="58" l="1"/>
  <c r="I33" i="58" s="1"/>
  <c r="I42" i="51"/>
  <c r="I43" i="51" s="1"/>
  <c r="M42" i="51"/>
  <c r="M43" i="51" s="1"/>
  <c r="J42" i="51"/>
  <c r="J43" i="51" s="1"/>
  <c r="K42" i="51"/>
  <c r="K43" i="51" s="1"/>
  <c r="N42" i="51"/>
  <c r="N43" i="51" s="1"/>
  <c r="L42" i="51"/>
  <c r="L43" i="51" s="1"/>
  <c r="E83" i="50"/>
  <c r="I41" i="51"/>
  <c r="K41" i="51"/>
  <c r="L41" i="51"/>
  <c r="N41" i="51"/>
  <c r="J41" i="51"/>
  <c r="M41" i="51"/>
  <c r="I40" i="51"/>
  <c r="K40" i="51"/>
  <c r="N40" i="51"/>
  <c r="L40" i="51"/>
  <c r="M40" i="51"/>
  <c r="J40" i="51"/>
  <c r="E67" i="50"/>
  <c r="E43" i="50"/>
  <c r="E23" i="50"/>
  <c r="E27" i="50"/>
  <c r="E75" i="50"/>
  <c r="E51" i="50"/>
  <c r="E63" i="50"/>
  <c r="E39" i="50"/>
  <c r="E79" i="50"/>
  <c r="E35" i="50"/>
  <c r="E95" i="50"/>
  <c r="E47" i="50"/>
  <c r="E55" i="50"/>
  <c r="E71" i="50"/>
  <c r="E19" i="50"/>
  <c r="E31" i="50"/>
  <c r="E99" i="50"/>
  <c r="E91" i="50"/>
  <c r="E87" i="50"/>
  <c r="E59" i="50"/>
  <c r="E86" i="50"/>
  <c r="E34" i="50"/>
  <c r="E66" i="50"/>
  <c r="E18" i="50"/>
  <c r="E42" i="50"/>
  <c r="E50" i="50"/>
  <c r="E74" i="50"/>
  <c r="E26" i="50"/>
  <c r="E38" i="50"/>
  <c r="E58" i="50"/>
  <c r="E82" i="50"/>
  <c r="E30" i="50"/>
  <c r="E22" i="50"/>
  <c r="E98" i="50"/>
  <c r="E70" i="50"/>
  <c r="E62" i="50"/>
  <c r="E78" i="50"/>
  <c r="E54" i="50"/>
  <c r="E90" i="50"/>
  <c r="E46" i="50"/>
  <c r="E94" i="50"/>
  <c r="E80" i="50"/>
  <c r="E96" i="50"/>
  <c r="E60" i="50"/>
  <c r="E92" i="50"/>
  <c r="E40" i="50"/>
  <c r="E32" i="50"/>
  <c r="E52" i="50"/>
  <c r="E36" i="50"/>
  <c r="E72" i="50"/>
  <c r="E48" i="50"/>
  <c r="E68" i="50"/>
  <c r="E24" i="50"/>
  <c r="E28" i="50"/>
  <c r="E100" i="50"/>
  <c r="E64" i="50"/>
  <c r="E20" i="50"/>
  <c r="E76" i="50"/>
  <c r="E88" i="50"/>
  <c r="E56" i="50"/>
  <c r="E44" i="50"/>
  <c r="E84" i="50"/>
  <c r="D49" i="51"/>
  <c r="F37" i="58" l="1"/>
  <c r="F41" i="58" s="1"/>
  <c r="I41" i="58" s="1"/>
  <c r="E77" i="50"/>
  <c r="E37" i="50"/>
  <c r="E89" i="50"/>
  <c r="E33" i="50"/>
  <c r="E65" i="50"/>
  <c r="E97" i="50"/>
  <c r="E69" i="50"/>
  <c r="E25" i="50"/>
  <c r="E29" i="50"/>
  <c r="E41" i="50"/>
  <c r="E45" i="50"/>
  <c r="E21" i="50"/>
  <c r="F21" i="50" s="1"/>
  <c r="I21" i="50" s="1"/>
  <c r="E101" i="50"/>
  <c r="E53" i="50"/>
  <c r="E61" i="50"/>
  <c r="E73" i="50"/>
  <c r="E85" i="50"/>
  <c r="E93" i="50"/>
  <c r="E81" i="50"/>
  <c r="E49" i="50"/>
  <c r="E57" i="50"/>
  <c r="F45" i="58" l="1"/>
  <c r="F49" i="58" s="1"/>
  <c r="I37" i="58"/>
  <c r="J21" i="50"/>
  <c r="K21" i="50" s="1"/>
  <c r="L21" i="50" s="1"/>
  <c r="E103" i="50"/>
  <c r="F25" i="50"/>
  <c r="F29" i="50" s="1"/>
  <c r="F33" i="50" s="1"/>
  <c r="F37" i="50" s="1"/>
  <c r="F41" i="50" s="1"/>
  <c r="F45" i="50" s="1"/>
  <c r="F49" i="50" s="1"/>
  <c r="F53" i="50" s="1"/>
  <c r="F57" i="50" s="1"/>
  <c r="F61" i="50" s="1"/>
  <c r="F65" i="50" s="1"/>
  <c r="F69" i="50" s="1"/>
  <c r="F73" i="50" s="1"/>
  <c r="F77" i="50" s="1"/>
  <c r="F81" i="50" s="1"/>
  <c r="F85" i="50" s="1"/>
  <c r="I45" i="58" l="1"/>
  <c r="I25" i="50"/>
  <c r="J25" i="50" s="1"/>
  <c r="K25" i="50" s="1"/>
  <c r="I49" i="58"/>
  <c r="F53" i="58"/>
  <c r="I29" i="50"/>
  <c r="F57" i="58" l="1"/>
  <c r="I53" i="58"/>
  <c r="L25" i="50"/>
  <c r="I33" i="50"/>
  <c r="J29" i="50" l="1"/>
  <c r="K29" i="50" s="1"/>
  <c r="L29" i="50" s="1"/>
  <c r="I57" i="58"/>
  <c r="F61" i="58"/>
  <c r="I37" i="50"/>
  <c r="J33" i="50" l="1"/>
  <c r="K33" i="50" s="1"/>
  <c r="L33" i="50" s="1"/>
  <c r="F65" i="58"/>
  <c r="I61" i="58"/>
  <c r="I41" i="50"/>
  <c r="J37" i="50" l="1"/>
  <c r="K37" i="50" s="1"/>
  <c r="L37" i="50" s="1"/>
  <c r="I65" i="58"/>
  <c r="F69" i="58"/>
  <c r="I45" i="50"/>
  <c r="J41" i="50" l="1"/>
  <c r="K41" i="50" s="1"/>
  <c r="L41" i="50" s="1"/>
  <c r="F73" i="58"/>
  <c r="I69" i="58"/>
  <c r="I49" i="50"/>
  <c r="J45" i="50" l="1"/>
  <c r="K45" i="50" s="1"/>
  <c r="I73" i="58"/>
  <c r="F77" i="58"/>
  <c r="F81" i="58" s="1"/>
  <c r="I53" i="50"/>
  <c r="L45" i="50" l="1"/>
  <c r="I77" i="58"/>
  <c r="I57" i="50"/>
  <c r="J49" i="50" l="1"/>
  <c r="K49" i="50" s="1"/>
  <c r="L49" i="50" s="1"/>
  <c r="I81" i="58"/>
  <c r="F85" i="58"/>
  <c r="F89" i="58" s="1"/>
  <c r="F93" i="58" s="1"/>
  <c r="F97" i="58" s="1"/>
  <c r="I61" i="50"/>
  <c r="J53" i="50" l="1"/>
  <c r="K53" i="50" s="1"/>
  <c r="L53" i="50" s="1"/>
  <c r="I85" i="58"/>
  <c r="I65" i="50"/>
  <c r="J57" i="50" l="1"/>
  <c r="K57" i="50" s="1"/>
  <c r="L57" i="50" s="1"/>
  <c r="I89" i="58"/>
  <c r="F101" i="58"/>
  <c r="I101" i="58" s="1"/>
  <c r="I69" i="50"/>
  <c r="J61" i="50" l="1"/>
  <c r="K61" i="50" s="1"/>
  <c r="L61" i="50" s="1"/>
  <c r="I93" i="58"/>
  <c r="I73" i="50"/>
  <c r="J65" i="50" l="1"/>
  <c r="K65" i="50" s="1"/>
  <c r="L65" i="50" s="1"/>
  <c r="I97" i="58"/>
  <c r="I77" i="50"/>
  <c r="J69" i="50" l="1"/>
  <c r="K69" i="50" s="1"/>
  <c r="I81" i="50"/>
  <c r="L69" i="50" l="1"/>
  <c r="I85" i="50"/>
  <c r="F89" i="50"/>
  <c r="J73" i="50" l="1"/>
  <c r="K73" i="50" s="1"/>
  <c r="L73" i="50" s="1"/>
  <c r="I89" i="50"/>
  <c r="F93" i="50"/>
  <c r="J77" i="50" l="1"/>
  <c r="K77" i="50" s="1"/>
  <c r="I93" i="50"/>
  <c r="F97" i="50"/>
  <c r="L77" i="50" l="1"/>
  <c r="I97" i="50"/>
  <c r="F101" i="50"/>
  <c r="J81" i="50" l="1"/>
  <c r="K81" i="50" s="1"/>
  <c r="L81" i="50" s="1"/>
  <c r="I101" i="50"/>
  <c r="J85" i="50" l="1"/>
  <c r="K85" i="50" s="1"/>
  <c r="L85" i="50" s="1"/>
  <c r="J89" i="50" l="1"/>
  <c r="K89" i="50" s="1"/>
  <c r="L89" i="50" s="1"/>
  <c r="J93" i="50" l="1"/>
  <c r="K93" i="50" s="1"/>
  <c r="L93" i="50" s="1"/>
  <c r="J97" i="50" l="1"/>
  <c r="K97" i="50" s="1"/>
  <c r="L97" i="50" s="1"/>
  <c r="J101" i="50" l="1"/>
  <c r="K101" i="50" s="1"/>
  <c r="L101" i="50" s="1"/>
  <c r="L9" i="58" l="1"/>
  <c r="J11" i="58" s="1"/>
  <c r="K11" i="58" s="1"/>
  <c r="L11" i="58" l="1"/>
  <c r="J13" i="58" l="1"/>
  <c r="K13" i="58" l="1"/>
  <c r="L13" i="58" s="1"/>
  <c r="J15" i="58" l="1"/>
  <c r="K15" i="58" l="1"/>
  <c r="L15" i="58" s="1"/>
  <c r="J17" i="58" l="1"/>
  <c r="K17" i="58" s="1"/>
  <c r="L17" i="58" l="1"/>
  <c r="J21" i="58" l="1"/>
  <c r="K21" i="58" s="1"/>
  <c r="L21" i="58" s="1"/>
  <c r="J25" i="58" l="1"/>
  <c r="K25" i="58" s="1"/>
  <c r="L25" i="58" s="1"/>
  <c r="J29" i="58" s="1"/>
  <c r="K29" i="58" s="1"/>
  <c r="L29" i="58" l="1"/>
  <c r="J33" i="58" l="1"/>
  <c r="K33" i="58" s="1"/>
  <c r="L33" i="58" l="1"/>
  <c r="J37" i="58" l="1"/>
  <c r="K37" i="58" s="1"/>
  <c r="L37" i="58" l="1"/>
  <c r="J41" i="58" l="1"/>
  <c r="K41" i="58" s="1"/>
  <c r="L41" i="58" s="1"/>
  <c r="J45" i="58" l="1"/>
  <c r="K45" i="58" s="1"/>
  <c r="L45" i="58" l="1"/>
  <c r="J49" i="58" l="1"/>
  <c r="K49" i="58" l="1"/>
  <c r="L49" i="58" s="1"/>
  <c r="J53" i="58" l="1"/>
  <c r="K53" i="58" s="1"/>
  <c r="L53" i="58" s="1"/>
  <c r="J57" i="58" l="1"/>
  <c r="K57" i="58" s="1"/>
  <c r="L57" i="58" l="1"/>
  <c r="J61" i="58" l="1"/>
  <c r="K61" i="58" s="1"/>
  <c r="L61" i="58" s="1"/>
  <c r="J65" i="58" l="1"/>
  <c r="K65" i="58" s="1"/>
  <c r="L65" i="58" s="1"/>
  <c r="J69" i="58" l="1"/>
  <c r="K69" i="58" s="1"/>
  <c r="L69" i="58" s="1"/>
  <c r="J73" i="58" l="1"/>
  <c r="K73" i="58" s="1"/>
  <c r="L73" i="58" s="1"/>
  <c r="J77" i="58" l="1"/>
  <c r="K77" i="58" s="1"/>
  <c r="L77" i="58" s="1"/>
  <c r="J81" i="58" l="1"/>
  <c r="K81" i="58" s="1"/>
  <c r="L81" i="58" s="1"/>
  <c r="J85" i="58" l="1"/>
  <c r="K85" i="58" s="1"/>
  <c r="L85" i="58" s="1"/>
  <c r="J89" i="58" l="1"/>
  <c r="K89" i="58" s="1"/>
  <c r="L89" i="58" s="1"/>
  <c r="J93" i="58" l="1"/>
  <c r="K93" i="58" s="1"/>
  <c r="L93" i="58" s="1"/>
  <c r="J97" i="58" l="1"/>
  <c r="K97" i="58" l="1"/>
  <c r="L97" i="58" s="1"/>
  <c r="J101" i="58" l="1"/>
  <c r="K101" i="58" s="1"/>
  <c r="L101" i="58"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ConstInt" description="Connection to the 'ConstInt' query in the workbook." type="5" refreshedVersion="0" background="1">
    <dbPr connection="Provider=Microsoft.Mashup.OleDb.1;Data Source=$Workbook$;Location=ConstInt;Extended Properties=&quot;&quot;" command="SELECT * FROM [ConstInt]"/>
  </connection>
  <connection id="2" xr16:uid="{00000000-0015-0000-FFFF-FFFF01000000}" keepAlive="1" name="Query - Escalation Factors" description="Connection to the 'Escalation Factors' query in the workbook." type="5" refreshedVersion="0" background="1">
    <dbPr connection="Provider=Microsoft.Mashup.OleDb.1;Data Source=$Workbook$;Location=&quot;Escalation Factors&quot;;Extended Properties=&quot;&quot;" command="SELECT * FROM [Escalation Factors]"/>
  </connection>
  <connection id="3" xr16:uid="{00000000-0015-0000-FFFF-FFFF02000000}" keepAlive="1" name="Query - EscalationFactorsList" description="Connection to the 'EscalationFactorsList' query in the workbook." type="5" refreshedVersion="6" background="1" saveData="1">
    <dbPr connection="Provider=Microsoft.Mashup.OleDb.1;Data Source=$Workbook$;Location=EscalationFactorsList;Extended Properties=&quot;&quot;" command="SELECT * FROM [EscalationFactorsList]"/>
  </connection>
  <connection id="4" xr16:uid="{00000000-0015-0000-FFFF-FFFF03000000}" keepAlive="1" name="Query - FireCost" description="Connection to the 'FireCost' query in the workbook." type="5" refreshedVersion="6" background="1" saveData="1">
    <dbPr connection="Provider=Microsoft.Mashup.OleDb.1;Data Source=$Workbook$;Location=FireCost;Extended Properties=&quot;&quot;" command="SELECT * FROM [FireCost]"/>
  </connection>
  <connection id="5" xr16:uid="{00000000-0015-0000-FFFF-FFFF04000000}" keepAlive="1" name="Query - InvConst" description="Connection to the 'InvConst' query in the workbook." type="5" refreshedVersion="6" background="1" saveData="1">
    <dbPr connection="Provider=Microsoft.Mashup.OleDb.1;Data Source=$Workbook$;Location=InvConst;Extended Properties=&quot;&quot;" command="SELECT * FROM [InvConst]"/>
  </connection>
  <connection id="6" xr16:uid="{00000000-0015-0000-FFFF-FFFF05000000}" odcFile="C:\Users\davidbl\Desktop\Query - Water Periods.odc" keepAlive="1" name="Query - Water Periods" description="Connection to the 'Water Periods' query in the workbook." type="5" refreshedVersion="6" background="1" saveData="1">
    <dbPr connection="Provider=Microsoft.Mashup.OleDb.1;Data Source=$Workbook$;Location=Water Periods;Extended Properties=&quot;&quot;" command="SELECT * FROM [Water Periods]"/>
  </connection>
  <connection id="7" xr16:uid="{00000000-0015-0000-FFFF-FFFF06000000}" keepAlive="1" name="Query - WaterPeriodsList" description="Connection to the 'WaterPeriodsList' query in the workbook." type="5" refreshedVersion="6" background="1" saveData="1">
    <dbPr connection="Provider=Microsoft.Mashup.OleDb.1;Data Source=$Workbook$;Location=WaterPeriodsList;Extended Properties=&quot;&quot;" command="SELECT * FROM [WaterPeriodsList]"/>
  </connection>
</connections>
</file>

<file path=xl/sharedStrings.xml><?xml version="1.0" encoding="utf-8"?>
<sst xmlns="http://schemas.openxmlformats.org/spreadsheetml/2006/main" count="2380" uniqueCount="892">
  <si>
    <t>Description</t>
  </si>
  <si>
    <t>Total Cost</t>
  </si>
  <si>
    <t>Factor</t>
  </si>
  <si>
    <t>(A)</t>
  </si>
  <si>
    <t>Escalation Factors</t>
  </si>
  <si>
    <t>Year</t>
  </si>
  <si>
    <t>Cash In</t>
  </si>
  <si>
    <t>Total</t>
  </si>
  <si>
    <t>Escalated</t>
  </si>
  <si>
    <t>Costs</t>
  </si>
  <si>
    <t>Escalation</t>
  </si>
  <si>
    <t>Net Escalated</t>
  </si>
  <si>
    <t>Interest</t>
  </si>
  <si>
    <t>Subtotal</t>
  </si>
  <si>
    <t>Grand Total</t>
  </si>
  <si>
    <t>Cash</t>
  </si>
  <si>
    <t>Cumulative</t>
  </si>
  <si>
    <t>Finance</t>
  </si>
  <si>
    <t>Adj. Factor</t>
  </si>
  <si>
    <t>In-Density</t>
  </si>
  <si>
    <t>Cash Out</t>
  </si>
  <si>
    <t>SPENT</t>
  </si>
  <si>
    <t>COLLECTED</t>
  </si>
  <si>
    <t>Halifax</t>
  </si>
  <si>
    <t>Average</t>
  </si>
  <si>
    <t xml:space="preserve"> </t>
  </si>
  <si>
    <t>Item #</t>
  </si>
  <si>
    <t>Rate</t>
  </si>
  <si>
    <t>Varies</t>
  </si>
  <si>
    <t>Benefit to Existing Customers (Water Infrastructure)</t>
  </si>
  <si>
    <t>Benefit to Existing Customers (Wastewater Infrastructure)</t>
  </si>
  <si>
    <t xml:space="preserve">ENR inflation Compounded Annually </t>
  </si>
  <si>
    <t>Water</t>
  </si>
  <si>
    <t>Mill Cove</t>
  </si>
  <si>
    <t xml:space="preserve">Inflation on Infrastructure 2019 onward </t>
  </si>
  <si>
    <t>Construction period interest for 2019 onward</t>
  </si>
  <si>
    <t>Average 2012-2017</t>
  </si>
  <si>
    <t>10 year average</t>
  </si>
  <si>
    <t>2008-10</t>
  </si>
  <si>
    <t>2008-11</t>
  </si>
  <si>
    <t>2008-12</t>
  </si>
  <si>
    <t>2009-01</t>
  </si>
  <si>
    <t>2009-02</t>
  </si>
  <si>
    <t>2009-03</t>
  </si>
  <si>
    <t>2009-04</t>
  </si>
  <si>
    <t>2009-05</t>
  </si>
  <si>
    <t>2009-06</t>
  </si>
  <si>
    <t>2009-07</t>
  </si>
  <si>
    <t>2009-08</t>
  </si>
  <si>
    <t>2009-09</t>
  </si>
  <si>
    <t>2009-10</t>
  </si>
  <si>
    <t>2009-11</t>
  </si>
  <si>
    <t>2009-12</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</si>
  <si>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</si>
  <si>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</si>
  <si>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</si>
  <si>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</si>
  <si>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</si>
  <si>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</si>
  <si>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</si>
  <si>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</si>
  <si>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</si>
  <si>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</si>
  <si>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</si>
  <si>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</si>
  <si>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</si>
  <si>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</si>
  <si>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</si>
  <si>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</si>
  <si>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</si>
  <si>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</si>
  <si>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</si>
  <si>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</si>
  <si>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</si>
  <si>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</si>
  <si>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</si>
  <si>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</si>
  <si>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</si>
  <si>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</si>
  <si>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</si>
  <si>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</si>
  <si>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</si>
  <si>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</si>
  <si>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</si>
  <si>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</si>
  <si>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</si>
  <si>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</si>
  <si>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</si>
  <si>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</si>
  <si>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</si>
  <si>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</si>
  <si>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</si>
  <si>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</si>
  <si>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</si>
  <si>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</si>
  <si>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</si>
  <si>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</si>
  <si>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</si>
  <si>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</si>
  <si>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</si>
  <si>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</si>
  <si>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2014-01</t>
  </si>
  <si>
    <t>2014-02</t>
  </si>
  <si>
    <t>2014-03</t>
  </si>
  <si>
    <t>2014-04</t>
  </si>
  <si>
    <t>2014-05</t>
  </si>
  <si>
    <t>2014-06</t>
  </si>
  <si>
    <t>2014-07</t>
  </si>
  <si>
    <t>2014-08</t>
  </si>
  <si>
    <t>2014-09</t>
  </si>
  <si>
    <t>2014-10</t>
  </si>
  <si>
    <t>2014-11</t>
  </si>
  <si>
    <t>2014-12</t>
  </si>
  <si>
    <t>2015-01</t>
  </si>
  <si>
    <t>2015-02</t>
  </si>
  <si>
    <t>2015-03</t>
  </si>
  <si>
    <t>2015-04</t>
  </si>
  <si>
    <t>2015-05</t>
  </si>
  <si>
    <t>2015-06</t>
  </si>
  <si>
    <t>2015-07</t>
  </si>
  <si>
    <t>2015-08</t>
  </si>
  <si>
    <t>2015-09</t>
  </si>
  <si>
    <t>2015-10</t>
  </si>
  <si>
    <t>2015-11</t>
  </si>
  <si>
    <t>2015-12</t>
  </si>
  <si>
    <t>2016-01</t>
  </si>
  <si>
    <t>2016-02</t>
  </si>
  <si>
    <t>2016-03</t>
  </si>
  <si>
    <t>2016-04</t>
  </si>
  <si>
    <t>2016-05</t>
  </si>
  <si>
    <t>2016-06</t>
  </si>
  <si>
    <t>2016-07</t>
  </si>
  <si>
    <t>2016-08</t>
  </si>
  <si>
    <t>2016-09</t>
  </si>
  <si>
    <t>2016-10</t>
  </si>
  <si>
    <t>2016-11</t>
  </si>
  <si>
    <t>2016-12</t>
  </si>
  <si>
    <t>2017-01</t>
  </si>
  <si>
    <t>2017-02</t>
  </si>
  <si>
    <t>2017-03</t>
  </si>
  <si>
    <t>2017-04</t>
  </si>
  <si>
    <t>2017-05</t>
  </si>
  <si>
    <t>2017-06</t>
  </si>
  <si>
    <t>2017-07</t>
  </si>
  <si>
    <t>2017-08</t>
  </si>
  <si>
    <t>2017-09</t>
  </si>
  <si>
    <t>2017-10</t>
  </si>
  <si>
    <t>2017-11</t>
  </si>
  <si>
    <t>2017-12</t>
  </si>
  <si>
    <t>2018-01</t>
  </si>
  <si>
    <t>2018-02</t>
  </si>
  <si>
    <t>2018-03</t>
  </si>
  <si>
    <t>2018-04</t>
  </si>
  <si>
    <t>2018-05</t>
  </si>
  <si>
    <t>2018-06</t>
  </si>
  <si>
    <t>2018-07</t>
  </si>
  <si>
    <t>2018-08</t>
  </si>
  <si>
    <t>2018-09</t>
  </si>
  <si>
    <t>V122504</t>
  </si>
  <si>
    <t>Date</t>
  </si>
  <si>
    <t>2008-10-01 - 2018-09-01</t>
  </si>
  <si>
    <t>High</t>
  </si>
  <si>
    <t>Low</t>
  </si>
  <si>
    <t>Summary</t>
  </si>
  <si>
    <t>V122504 = Bankers' acceptances - 1 Month</t>
  </si>
  <si>
    <t>Monthly series: 2008-10 - 2018-09</t>
  </si>
  <si>
    <t>Canadian Interest Rates</t>
  </si>
  <si>
    <t>https://www.bankofcanada.ca/rates/interest-rates/canadian-interest-rates/?lookupPage=lookup_canadian_interest.php&amp;startRange=2008-10-22&amp;rangeType=dates&amp;dFrom=2008-10-22&amp;dTo=2018-10-19&amp;rangeValue=1&amp;rangeWeeklyValue=1&amp;rangeMonthlyValue=1&amp;ByDate_frequency=daily&amp;series%5B%5D=V122504&amp;submit_button=Submit</t>
  </si>
  <si>
    <t>https://www.bankofcanada.ca/rates/interest-rates/canadian-interest-rates/</t>
  </si>
  <si>
    <t>V122543</t>
  </si>
  <si>
    <t>V122543 = Government of Canada benchmark bond yields - 10 year</t>
  </si>
  <si>
    <t>Selected Bond Yields</t>
  </si>
  <si>
    <t>https://www.bankofcanada.ca/rates/interest-rates/lookup-bond-yields/?lookupPage=lookup_bond_yields.php&amp;startRange=2008-10-22&amp;rangeType=dates&amp;dFrom=2008-10-22&amp;dTo=2018-10-22&amp;rangeValue=1&amp;rangeWeeklyValue=1&amp;rangeMonthlyValue=1&amp;series%5B%5D=LOOKUPS_V122543&amp;submit_button=Submit</t>
  </si>
  <si>
    <t>https://www.bankofcanada.ca/rates/interest-rates/lookup-bond-yields/</t>
  </si>
  <si>
    <t xml:space="preserve"> - ENR no longer publishes construction inflation rates for Toronto &amp; Montreal, as previously utilized</t>
  </si>
  <si>
    <t xml:space="preserve"> - Used averages of the 4th quarter indexes</t>
  </si>
  <si>
    <t xml:space="preserve"> - StatsCan publishes data quarterly</t>
  </si>
  <si>
    <t>Note:</t>
  </si>
  <si>
    <t>Average of 5 and 20</t>
  </si>
  <si>
    <t>Five year average</t>
  </si>
  <si>
    <t>Twenty year average</t>
  </si>
  <si>
    <t>Combined</t>
  </si>
  <si>
    <t>Canada</t>
  </si>
  <si>
    <t>Q4 2017</t>
  </si>
  <si>
    <t>Q4 2016</t>
  </si>
  <si>
    <t>Q4 2015</t>
  </si>
  <si>
    <t>Q4 2014</t>
  </si>
  <si>
    <t>Q4 2013</t>
  </si>
  <si>
    <t>Q4 2012</t>
  </si>
  <si>
    <t>Q4 2011</t>
  </si>
  <si>
    <t>Q4 2010</t>
  </si>
  <si>
    <t>Q4 2009</t>
  </si>
  <si>
    <t>Q4 2008</t>
  </si>
  <si>
    <t>Q4 2007</t>
  </si>
  <si>
    <t>Q4 2006</t>
  </si>
  <si>
    <t>Q4 2005</t>
  </si>
  <si>
    <t>Q4 2004</t>
  </si>
  <si>
    <t>Q4 2003</t>
  </si>
  <si>
    <t>Q4 2002</t>
  </si>
  <si>
    <t>Q4 2001</t>
  </si>
  <si>
    <t>Q4 2000</t>
  </si>
  <si>
    <t>Q4 1999</t>
  </si>
  <si>
    <t>Q4 1998</t>
  </si>
  <si>
    <t>Q4 1997</t>
  </si>
  <si>
    <t>Q4 1996</t>
  </si>
  <si>
    <t>Q4 1995</t>
  </si>
  <si>
    <t>Halifax Percentage change</t>
  </si>
  <si>
    <t>Canada Percentage change</t>
  </si>
  <si>
    <t>Halifax Index value as at Q4</t>
  </si>
  <si>
    <t>Canada Index value as at Q4</t>
  </si>
  <si>
    <t>https://www150.statcan.gc.ca/t1/tbl1/en/cv.action?pid=1810004901#timeframe</t>
  </si>
  <si>
    <t>Stats Can Non-Res Construction</t>
  </si>
  <si>
    <t>Percentage change</t>
  </si>
  <si>
    <t>Annual Average Index</t>
  </si>
  <si>
    <t>Stats Can CPI (Table 12 - Halifax)</t>
  </si>
  <si>
    <t>https://www150.statcan.gc.ca/n1/pub/62-001-x/2018004/tbl/tbl-12-eng.htm</t>
  </si>
  <si>
    <t>https://www150.statcan.gc.ca/t1/tbl1/en/tv.action?pid=1810004901</t>
  </si>
  <si>
    <t>How to cite: Statistics Canada. Table 18-10-0049-01 Non-residential building construction price index, by class of structure, quarterly</t>
  </si>
  <si>
    <t>The total, non-residential building construction element is directly comparable to the North American Industrial Classification System (NAICS) 2012 code 2362 - Non-residential building construction.</t>
  </si>
  <si>
    <t>From 1981 to 1987, non-residential building models were priced only every six months for Halifax. Prices were estimated for interim periods and revised at the next pricing period.</t>
  </si>
  <si>
    <t>From 1981 to 1984, pricing for the office building for Halifax was simulated from available trade pricing for other buildings.</t>
  </si>
  <si>
    <t>All geographic regions are based on the 2011 census boundaries.</t>
  </si>
  <si>
    <t>Prior to the introduction of value added taxes all applicable Federal and Provincial sales taxes are included in the indexes. On January 1, 1991, the Federal Sales Tax (FST) was replaced by a value-added tax, the Goods and Services Tax (GST) which is not included in the indexes. On July 1, 1992, the Quebec Provincial Sales Tax was replaced by a value added tax, the Quebec Sales Tax (QST) which is not included in the indexes. On April 1, 1997, the Nova Scotia Provincial Sales Tax was replaced by a valued added tax and combined with the GST to form a Harmonized Sales Tax (HST) which is not included in the indexes. On July 1, 2010 the Ontario Retail Sales Tax and the British Columbia Provincial Sales Tax (also known as the British Columbia Social Service Tax) on materials were replaced by new valued added taxes and were combined with the existing GST in these two provinces to form a Harmonized Sales Tax (HST), which is not included in the indexes.</t>
  </si>
  <si>
    <t>Additional non-residential building construction price indexes are available in CANSIM table 327-0044. Non-residential building construction price index historical data are available for the period from 1972 to 1980 for Montreal, Ottawa, Toronto and Vancouver.</t>
  </si>
  <si>
    <t>These price indexes measure changes in contractors' selling prices of new non-residential building construction by class of structure (commercial, industrial, institutional), 2002=100, quarterly data, for six census metropolitan areas (CMA) and the Ontario part of the Ottawa-Gatineau CMA and a composite of these seven census metropolitan areas. The indexes are derived from surveys of both general and specialized sub-trade contractors and exclude the cost of land, design and real estate fees. The pricing date is the 15th day of the middle month of each quarter. Data for periods prior to the fourth quarter of 2008 were calculated by linking 1997=100 data (CANSIM table 327-0039) to the average of the four quarters of 2002.</t>
  </si>
  <si>
    <t>Footnotes:</t>
  </si>
  <si>
    <t>Q3 2017</t>
  </si>
  <si>
    <t>Q2 2017</t>
  </si>
  <si>
    <t>Q1 2017</t>
  </si>
  <si>
    <t>Q3 2016</t>
  </si>
  <si>
    <t>Q2 2016</t>
  </si>
  <si>
    <t>Q1 2016</t>
  </si>
  <si>
    <t>Q3 2015</t>
  </si>
  <si>
    <t>Q2 2015</t>
  </si>
  <si>
    <t>Q1 2015</t>
  </si>
  <si>
    <t>Q3 2014</t>
  </si>
  <si>
    <t>Q2 2014</t>
  </si>
  <si>
    <t>Q1 2014</t>
  </si>
  <si>
    <t>Q3 2013</t>
  </si>
  <si>
    <t>Q2 2013</t>
  </si>
  <si>
    <t>Q1 2013</t>
  </si>
  <si>
    <t>Q3 2012</t>
  </si>
  <si>
    <t>Q2 2012</t>
  </si>
  <si>
    <t>Q1 2012</t>
  </si>
  <si>
    <t>Q3 2011</t>
  </si>
  <si>
    <t>Q2 2011</t>
  </si>
  <si>
    <t>Q1 2011</t>
  </si>
  <si>
    <t>Q3 2010</t>
  </si>
  <si>
    <t>Q2 2010</t>
  </si>
  <si>
    <t>Q1 2010</t>
  </si>
  <si>
    <t>Q3 2009</t>
  </si>
  <si>
    <t>Q2 2009</t>
  </si>
  <si>
    <t>Q1 2009</t>
  </si>
  <si>
    <t>Q3 2008</t>
  </si>
  <si>
    <t>Q2 2008</t>
  </si>
  <si>
    <t>Q1 2008</t>
  </si>
  <si>
    <t>Q3 2007</t>
  </si>
  <si>
    <t>Q2 2007</t>
  </si>
  <si>
    <t>Q1 2007</t>
  </si>
  <si>
    <t>Q3 2006</t>
  </si>
  <si>
    <t>Q2 2006</t>
  </si>
  <si>
    <t>Q1 2006</t>
  </si>
  <si>
    <t>Q3 2005</t>
  </si>
  <si>
    <t>Q2 2005</t>
  </si>
  <si>
    <t>Q1 2005</t>
  </si>
  <si>
    <t>Q3 2004</t>
  </si>
  <si>
    <t>Q2 2004</t>
  </si>
  <si>
    <t>Q1 2004</t>
  </si>
  <si>
    <t>Q3 2003</t>
  </si>
  <si>
    <t>Q2 2003</t>
  </si>
  <si>
    <t>Q1 2003</t>
  </si>
  <si>
    <t>Q3 2002</t>
  </si>
  <si>
    <t>Q2 2002</t>
  </si>
  <si>
    <t>Q1 2002</t>
  </si>
  <si>
    <t>Q3 2001</t>
  </si>
  <si>
    <t>Q2 2001</t>
  </si>
  <si>
    <t>Q1 2001</t>
  </si>
  <si>
    <t>Q3 2000</t>
  </si>
  <si>
    <t>Q2 2000</t>
  </si>
  <si>
    <t>Q1 2000</t>
  </si>
  <si>
    <t>Q3 1999</t>
  </si>
  <si>
    <t>Q2 1999</t>
  </si>
  <si>
    <t>Q1 1999</t>
  </si>
  <si>
    <t>Q3 1998</t>
  </si>
  <si>
    <t>Q2 1998</t>
  </si>
  <si>
    <t>Q1 1998</t>
  </si>
  <si>
    <t>Q3 1997</t>
  </si>
  <si>
    <t>Q2 1997</t>
  </si>
  <si>
    <t>Q1 1997</t>
  </si>
  <si>
    <t>Q3 1996</t>
  </si>
  <si>
    <t>Q2 1996</t>
  </si>
  <si>
    <t>Q1 1996</t>
  </si>
  <si>
    <t>Total, non-residential building construction [2362] 7</t>
  </si>
  <si>
    <t>Index, 2002=100</t>
  </si>
  <si>
    <t>Halifax, Nova Scotia 5 6</t>
  </si>
  <si>
    <t>Seven census metropolitan area composite</t>
  </si>
  <si>
    <t>Reference period</t>
  </si>
  <si>
    <t>Class of structure</t>
  </si>
  <si>
    <t>Geography: Census metropolitan area, Census metropolitan area part</t>
  </si>
  <si>
    <t>Table: 18-10-0049-01 (formerly CANSIM 327-0043)</t>
  </si>
  <si>
    <t>Quarterly</t>
  </si>
  <si>
    <t>Archived - Non-residential building construction price index, by class of structure, quarterly 1 2 3</t>
  </si>
  <si>
    <t>Inflation Adjustment</t>
  </si>
  <si>
    <t>Data Source: Bank of Canada V122543: Government of Canada benchmark bond yields,10 year + 0.75% risk premium, - 10 year average, updated April 24, 2019</t>
  </si>
  <si>
    <t>Data Source: Bank of Canada V122504: Bankers' acceptances - 1 month + 0.75% risk premium - 10 year average, updated April 24, 2019</t>
  </si>
  <si>
    <t>(B)</t>
  </si>
  <si>
    <t>(H)</t>
  </si>
  <si>
    <t>Financial Assumptions</t>
  </si>
  <si>
    <t>2020-2021</t>
  </si>
  <si>
    <t>2021-2026</t>
  </si>
  <si>
    <t>2026-2031</t>
  </si>
  <si>
    <t>2031-2036</t>
  </si>
  <si>
    <t>2036-2041</t>
  </si>
  <si>
    <t>Construction</t>
  </si>
  <si>
    <t>RDC</t>
  </si>
  <si>
    <t>Lakeside Diversion</t>
  </si>
  <si>
    <t>System</t>
  </si>
  <si>
    <t xml:space="preserve">Fairview Clayton Park Bridgeview I/I Reduction   </t>
  </si>
  <si>
    <t>AT2</t>
  </si>
  <si>
    <t>Upgrade WWTF to service employment growth flows</t>
  </si>
  <si>
    <t>Aerotech</t>
  </si>
  <si>
    <t>D1</t>
  </si>
  <si>
    <t>LoWSCA: Canal Street Separation</t>
  </si>
  <si>
    <t xml:space="preserve">Dartmouth </t>
  </si>
  <si>
    <t>D2a</t>
  </si>
  <si>
    <t>LoWSCA: Wyse Road Separation - Phase 1</t>
  </si>
  <si>
    <t>D13</t>
  </si>
  <si>
    <t xml:space="preserve">Additional flow monitoring </t>
  </si>
  <si>
    <t>EP13</t>
  </si>
  <si>
    <t>I/I Reduction Program FMZ24</t>
  </si>
  <si>
    <t>Eastern Passage</t>
  </si>
  <si>
    <t>EP14</t>
  </si>
  <si>
    <t>I/I Reduction Program FMZ37</t>
  </si>
  <si>
    <t>MC7</t>
  </si>
  <si>
    <t>Mill Cove Wastewater Treatment Plant Capacity Upgrade</t>
  </si>
  <si>
    <t>MC8</t>
  </si>
  <si>
    <t>I/I Reduction Program FMZ07, FMZ10, &amp; FMZ40</t>
  </si>
  <si>
    <t>WR1</t>
  </si>
  <si>
    <t>WRWIP: Spring Garden Area Sewer Separation</t>
  </si>
  <si>
    <t>WR2</t>
  </si>
  <si>
    <t>WRWIP: Young Street Area Sewer Separation</t>
  </si>
  <si>
    <t>WR3</t>
  </si>
  <si>
    <t>WRWIP: Sewer Separation Upstream of Kempt CSO</t>
  </si>
  <si>
    <t>WR5</t>
  </si>
  <si>
    <t>WRWIP: Linear Upsize - Gottingen &amp; Cogswell Area</t>
  </si>
  <si>
    <t>WR9</t>
  </si>
  <si>
    <t>WR13</t>
  </si>
  <si>
    <t>WRWIP: I/I Reduction Program in Fairview, Clayton Park, and Bridgeview areas</t>
  </si>
  <si>
    <t>WR18</t>
  </si>
  <si>
    <t>WRWIP: Fairview Cove Linear Upsize</t>
  </si>
  <si>
    <t>BLT</t>
  </si>
  <si>
    <t>D2b</t>
  </si>
  <si>
    <t>LoWSCA: Wyse Road Separation - Phase 2</t>
  </si>
  <si>
    <t>D5</t>
  </si>
  <si>
    <t xml:space="preserve">Albro Lakes Watershed Separation </t>
  </si>
  <si>
    <t>D8</t>
  </si>
  <si>
    <t xml:space="preserve">390 Waverley Road Upgrades </t>
  </si>
  <si>
    <t>D11</t>
  </si>
  <si>
    <t>I/I Reduction Program FMZ27</t>
  </si>
  <si>
    <t>D18</t>
  </si>
  <si>
    <t xml:space="preserve">Atlantic Street Upgrade </t>
  </si>
  <si>
    <t>D20</t>
  </si>
  <si>
    <t xml:space="preserve">Pleasant Street Upgrade </t>
  </si>
  <si>
    <t>EP6</t>
  </si>
  <si>
    <t>EP7</t>
  </si>
  <si>
    <t xml:space="preserve">Optimize Quigley's Corner PS </t>
  </si>
  <si>
    <t>MC10</t>
  </si>
  <si>
    <t>Local network upgrades on Beaver Bank Rd. North on Glendale Dr.</t>
  </si>
  <si>
    <t>MC11</t>
  </si>
  <si>
    <t>Local network upgrades on Beaver Bank Rd. at Galloway Dr.</t>
  </si>
  <si>
    <t>MC12</t>
  </si>
  <si>
    <t xml:space="preserve">Local network upgrades on Beaver Bank Rd by Windgate Drive </t>
  </si>
  <si>
    <t>D3</t>
  </si>
  <si>
    <t xml:space="preserve">Additional Sewer Separation on Wyse Street  </t>
  </si>
  <si>
    <t>D23</t>
  </si>
  <si>
    <t xml:space="preserve">Marvin Connection </t>
  </si>
  <si>
    <t>D24</t>
  </si>
  <si>
    <t>King Street Diversion</t>
  </si>
  <si>
    <t>WR7</t>
  </si>
  <si>
    <t>WRWIP: Young Pumping Station Upgrade</t>
  </si>
  <si>
    <t>D9</t>
  </si>
  <si>
    <t xml:space="preserve">Anderson Pumping Station Upgrades </t>
  </si>
  <si>
    <t>D12</t>
  </si>
  <si>
    <t>I/I Reduction Program FMZ45</t>
  </si>
  <si>
    <t>D16</t>
  </si>
  <si>
    <t xml:space="preserve">Pinecrest Dr Upgrade </t>
  </si>
  <si>
    <t>D17</t>
  </si>
  <si>
    <t xml:space="preserve">Peddars Way Upgrade </t>
  </si>
  <si>
    <t>D21</t>
  </si>
  <si>
    <t>Princess Margaret Blvd. Upgrade</t>
  </si>
  <si>
    <t>EP8</t>
  </si>
  <si>
    <t>Upgrade Memorial Drive Pumping Station</t>
  </si>
  <si>
    <t>EP12</t>
  </si>
  <si>
    <t>I/I Reduction Program FMZ23</t>
  </si>
  <si>
    <t>MC4</t>
  </si>
  <si>
    <t>Storage Tank</t>
  </si>
  <si>
    <t>MC5</t>
  </si>
  <si>
    <t>Fish Hatchery Park Pumping Station Upgrade</t>
  </si>
  <si>
    <t>MC9</t>
  </si>
  <si>
    <t>I/I Reduction Program FMZ02 &amp; FMZ03</t>
  </si>
  <si>
    <t>WR20</t>
  </si>
  <si>
    <t>WRWIP: Linear Upgrades within the Kearney Lake Road Area</t>
  </si>
  <si>
    <t>WRWIP: Herring Cove Road - Gravity Sewer Upsize</t>
  </si>
  <si>
    <t xml:space="preserve">Herring Cove </t>
  </si>
  <si>
    <t>EP16</t>
  </si>
  <si>
    <t xml:space="preserve">Local network upgrades on Colby Drive </t>
  </si>
  <si>
    <t>D7</t>
  </si>
  <si>
    <t>New Valleyford Pumping Station</t>
  </si>
  <si>
    <t>D10</t>
  </si>
  <si>
    <t xml:space="preserve">Upgrades to Dartmouth WWTF </t>
  </si>
  <si>
    <t>D14</t>
  </si>
  <si>
    <t>CSO Flow Management Plan</t>
  </si>
  <si>
    <t>D19</t>
  </si>
  <si>
    <t xml:space="preserve">Akerley Blvd and Railway Alignment Upgrade </t>
  </si>
  <si>
    <t>D22</t>
  </si>
  <si>
    <t>Anderson Lake Development Connection</t>
  </si>
  <si>
    <t>D25</t>
  </si>
  <si>
    <t xml:space="preserve">Diversion to Eastern Passage </t>
  </si>
  <si>
    <t>EP9</t>
  </si>
  <si>
    <t>Upgrade Beaver Crescent Pumping Station</t>
  </si>
  <si>
    <t>EP10</t>
  </si>
  <si>
    <t>Upgrade Bissett Lake Pumping Station</t>
  </si>
  <si>
    <t>EP11</t>
  </si>
  <si>
    <t>Upgrade Caldwell Road Pumping Station</t>
  </si>
  <si>
    <t>EP15</t>
  </si>
  <si>
    <t xml:space="preserve">Local network upgrades on Caldwell Road </t>
  </si>
  <si>
    <t>MC6</t>
  </si>
  <si>
    <t>Pumping Station (Beaver Bank #3 PS and Majestic Avenue PS)</t>
  </si>
  <si>
    <t>MC13</t>
  </si>
  <si>
    <t>Local network upgrades on Old Sackville Road south of Harvest Hwy</t>
  </si>
  <si>
    <t>MC14</t>
  </si>
  <si>
    <t>Local network upgrades on  Hallmark Ave.</t>
  </si>
  <si>
    <t>MC15</t>
  </si>
  <si>
    <t>Local Sewer Upgrades for Waterfront Drive</t>
  </si>
  <si>
    <t>WR19</t>
  </si>
  <si>
    <t>WRWIP: Halifax Treatment Plant Capacity Upgrade</t>
  </si>
  <si>
    <t>Benefit to</t>
  </si>
  <si>
    <t>Existing $</t>
  </si>
  <si>
    <t>Post Period</t>
  </si>
  <si>
    <t>Benefit %</t>
  </si>
  <si>
    <t>Benefit $</t>
  </si>
  <si>
    <t>(K)</t>
  </si>
  <si>
    <t>units</t>
  </si>
  <si>
    <t>(L)</t>
  </si>
  <si>
    <t>SUD / TH</t>
  </si>
  <si>
    <t>MUD</t>
  </si>
  <si>
    <t>Non-Res</t>
  </si>
  <si>
    <t>(C) = (A) + (B)</t>
  </si>
  <si>
    <t xml:space="preserve">(F) = (C) - (D) - (E) </t>
  </si>
  <si>
    <t>(F') = Inflation Adjustment</t>
  </si>
  <si>
    <t>(F'') = (F) + (F')</t>
  </si>
  <si>
    <t>(G)</t>
  </si>
  <si>
    <t>(I) = (F") * (G)</t>
  </si>
  <si>
    <t>(J) = (F") * (H)</t>
  </si>
  <si>
    <t>(P) = 3.35 PPU / 2.25 PPU</t>
  </si>
  <si>
    <t>(Q) = (I) / ((N) + ((O)/(P)))</t>
  </si>
  <si>
    <t>(R) = (I) / ((O) + ((N)*(P)))</t>
  </si>
  <si>
    <t xml:space="preserve">(S) = (J) / (L) </t>
  </si>
  <si>
    <t xml:space="preserve">(T) </t>
  </si>
  <si>
    <t>Units &amp; Sq.ft.</t>
  </si>
  <si>
    <t>Type</t>
  </si>
  <si>
    <t>RDC Annual</t>
  </si>
  <si>
    <t>Employment RDC Program</t>
  </si>
  <si>
    <t>W04</t>
  </si>
  <si>
    <t>Leiblin Booster Fire Pump</t>
  </si>
  <si>
    <t>Pockwock - Other</t>
  </si>
  <si>
    <t>W05.1</t>
  </si>
  <si>
    <t>Herring Cove Rd Twinning</t>
  </si>
  <si>
    <t>W12.1</t>
  </si>
  <si>
    <t>Lucasville Rd Twinning (Phase 1)</t>
  </si>
  <si>
    <t>W16</t>
  </si>
  <si>
    <t>New Hemlock Elevated Tank</t>
  </si>
  <si>
    <t>W32.1</t>
  </si>
  <si>
    <t>Decommission Miller Lake WSP - Linear</t>
  </si>
  <si>
    <t>System Interconnections Pockwock Transmission WTP Decommissioning</t>
  </si>
  <si>
    <t>W32.2</t>
  </si>
  <si>
    <t>Decommission Miller Lake WSP</t>
  </si>
  <si>
    <t>W18</t>
  </si>
  <si>
    <t>Chain Lake Backup Supply Study</t>
  </si>
  <si>
    <t>Studies</t>
  </si>
  <si>
    <t>W27</t>
  </si>
  <si>
    <t>Mt Edward Booster Fire Pump</t>
  </si>
  <si>
    <t>W35</t>
  </si>
  <si>
    <t>Safe Yield Study</t>
  </si>
  <si>
    <t>W36</t>
  </si>
  <si>
    <t>New Hydraulic Water Model (InfoWater)</t>
  </si>
  <si>
    <t>W37</t>
  </si>
  <si>
    <t>Comprehensive PRV Study</t>
  </si>
  <si>
    <t>W38</t>
  </si>
  <si>
    <t>Transmission Main Risk Assessment and Prioritization Framework</t>
  </si>
  <si>
    <t>W06.1</t>
  </si>
  <si>
    <t>Chain Control Transmission - Existing Peninsula Low Upsize</t>
  </si>
  <si>
    <t>Pockwock - Peninsula</t>
  </si>
  <si>
    <t>W06.2</t>
  </si>
  <si>
    <t>Chain Control Transmission - Existing Peninsula Intermediate Upsize</t>
  </si>
  <si>
    <t>W08</t>
  </si>
  <si>
    <t>Peninsula Intermediate Looping - Quinpool Rd to Young St</t>
  </si>
  <si>
    <t>W01.1</t>
  </si>
  <si>
    <t>Geizer 158 to Lakeside High Looping</t>
  </si>
  <si>
    <t>W01.4</t>
  </si>
  <si>
    <t>Brunello Booster Pump Upgrades</t>
  </si>
  <si>
    <t>W03</t>
  </si>
  <si>
    <t>Geizer Hill Booster Pump Upgrades</t>
  </si>
  <si>
    <t>W05.3</t>
  </si>
  <si>
    <t>Herring Cove Rd Looping - McIntosh St</t>
  </si>
  <si>
    <t>W17</t>
  </si>
  <si>
    <t>Pockwock Transmission Loop through Bedford</t>
  </si>
  <si>
    <t>W22.1</t>
  </si>
  <si>
    <t>New Main Street to Caledonia Road Connection</t>
  </si>
  <si>
    <t>Lake Major</t>
  </si>
  <si>
    <t>W22.2</t>
  </si>
  <si>
    <t>Caledonia Rd Twinning</t>
  </si>
  <si>
    <t>W22.3</t>
  </si>
  <si>
    <t>New Breeze Dr Watermain</t>
  </si>
  <si>
    <t>W23</t>
  </si>
  <si>
    <t>Highway 118 Crossing - Shubie Park to Dartmouth Crossing</t>
  </si>
  <si>
    <t>W25</t>
  </si>
  <si>
    <t>New Woodside Industrial Park Feed</t>
  </si>
  <si>
    <t>W28</t>
  </si>
  <si>
    <t>Tacoma PRV Chamber</t>
  </si>
  <si>
    <t>W40</t>
  </si>
  <si>
    <t>Aerotech Storage</t>
  </si>
  <si>
    <t>W29.3</t>
  </si>
  <si>
    <t>New Orchard Control Chamber</t>
  </si>
  <si>
    <t>W30.3</t>
  </si>
  <si>
    <t>Robie Emergency Booster</t>
  </si>
  <si>
    <t>W07</t>
  </si>
  <si>
    <t>Replace High Risk Peninsula Transmission (Robie)</t>
  </si>
  <si>
    <t>W10.1</t>
  </si>
  <si>
    <t>Young St Upsize</t>
  </si>
  <si>
    <t>W10.2</t>
  </si>
  <si>
    <t>Robie St Upsize</t>
  </si>
  <si>
    <t>W10.3</t>
  </si>
  <si>
    <t>Almon St Upsize</t>
  </si>
  <si>
    <t>W10.4</t>
  </si>
  <si>
    <t>Windsor St Upsize</t>
  </si>
  <si>
    <t>W12.2</t>
  </si>
  <si>
    <t>Lucasville Rd Twinning (Phase 2)</t>
  </si>
  <si>
    <t>W13.1</t>
  </si>
  <si>
    <t>New Primary Feed to Sackville High</t>
  </si>
  <si>
    <t>W13.2</t>
  </si>
  <si>
    <t>New Sackville Beaver Bank Valve Chamber</t>
  </si>
  <si>
    <t>W13.3</t>
  </si>
  <si>
    <t>Reconfiguration of Beaver Bank Booster</t>
  </si>
  <si>
    <t>W13.4</t>
  </si>
  <si>
    <t>New Sackville High PRV</t>
  </si>
  <si>
    <t>W14.1</t>
  </si>
  <si>
    <t>Cobequid High Looping</t>
  </si>
  <si>
    <t>W14.2</t>
  </si>
  <si>
    <t>Windgate Dr Upsize</t>
  </si>
  <si>
    <t>W24</t>
  </si>
  <si>
    <t>Windmill Rd Upsize</t>
  </si>
  <si>
    <t>W30.1</t>
  </si>
  <si>
    <t>Lyle Emergency Booster</t>
  </si>
  <si>
    <t>W30.2</t>
  </si>
  <si>
    <t>Valving for Central Intermediate Boundary Change</t>
  </si>
  <si>
    <t>W31.1</t>
  </si>
  <si>
    <t>Extension of Fall River to Bennery Lake (Phase 1)</t>
  </si>
  <si>
    <t>W31.2</t>
  </si>
  <si>
    <t>Extension of Fall River to Bennery Lake (Phase 2)</t>
  </si>
  <si>
    <t>W31.3</t>
  </si>
  <si>
    <t>Extension of Fall River to Bennery Lake (PS)</t>
  </si>
  <si>
    <t>W19.1</t>
  </si>
  <si>
    <t>Pockwock Transmission Twinning - 60in</t>
  </si>
  <si>
    <t>W06.3</t>
  </si>
  <si>
    <t>Pepperell Transmission</t>
  </si>
  <si>
    <t>W06.4</t>
  </si>
  <si>
    <t>Chain Control Transmission - Existing Peninsula Low Lining</t>
  </si>
  <si>
    <t>W06.5</t>
  </si>
  <si>
    <t>Chain Control Transmission - Valve Chambers</t>
  </si>
  <si>
    <t>W15</t>
  </si>
  <si>
    <t>Lively Booster Pump Upgrades</t>
  </si>
  <si>
    <t>W26</t>
  </si>
  <si>
    <t>Willowdale to Eastern Passage Connection</t>
  </si>
  <si>
    <t>W19.2</t>
  </si>
  <si>
    <t>Pockwock Transmission Twinning - 54in</t>
  </si>
  <si>
    <t>W29.1</t>
  </si>
  <si>
    <t>Bedford-Burnside System Interconnection (Phase 1)</t>
  </si>
  <si>
    <t>W29.2</t>
  </si>
  <si>
    <t>Bedford-Burnside System Interconnection (Phase 2)</t>
  </si>
  <si>
    <t>W39</t>
  </si>
  <si>
    <t>Tomahawk Lake Supply Study</t>
  </si>
  <si>
    <t>Period
Req'd</t>
  </si>
  <si>
    <t>2041-2046</t>
  </si>
  <si>
    <t>2016-2021</t>
  </si>
  <si>
    <t>Period</t>
  </si>
  <si>
    <t>Project ID</t>
  </si>
  <si>
    <t>Project Description</t>
  </si>
  <si>
    <t>Projects Cost                                  $ (2019)</t>
  </si>
  <si>
    <t>Table2.Factor</t>
  </si>
  <si>
    <t>Escalated Costs</t>
  </si>
  <si>
    <t>Growth 
(%)</t>
  </si>
  <si>
    <t>BTE
(%)</t>
  </si>
  <si>
    <t>BTE 
$ (2019)</t>
  </si>
  <si>
    <t>Growth 
$ (2019)</t>
  </si>
  <si>
    <t>Post Period
Benefit
(%)</t>
  </si>
  <si>
    <t>Post Period
Benefit 
$ (2019)</t>
  </si>
  <si>
    <t>Adjusted RDC 
$ (2019)</t>
  </si>
  <si>
    <t>Res RDC 
$ (2019)</t>
  </si>
  <si>
    <t>Non-Res RDC 
$ (2019)</t>
  </si>
  <si>
    <t>RDC Project
Included/Not Included</t>
  </si>
  <si>
    <t>BTE Allocation
Approach</t>
  </si>
  <si>
    <t>Rational for BTE (%)</t>
  </si>
  <si>
    <t>Included</t>
  </si>
  <si>
    <t>Method 2 - LOS Approach</t>
  </si>
  <si>
    <t>-primary reason to provide capacity for growth
 -minor benefits to exsiting LOS (AM)</t>
  </si>
  <si>
    <t>-primary reason to provide capacity for growth 
-minor benefits to exsiting LOS</t>
  </si>
  <si>
    <t>-primary reason to provide capacity for growth 
-minor benefits to exsiting LOS (AM)</t>
  </si>
  <si>
    <t>-provided improved pressure in local system for growth 
-minor benefit to exisintg LOS</t>
  </si>
  <si>
    <t>-provides system resiliency to existing infrastructure (AM)</t>
  </si>
  <si>
    <t>-primary reason to provide capacity for growth through renewing old infrastructure
- improved pressure and fire flow in the existing system (AM)</t>
  </si>
  <si>
    <t>-improved local system optimization through local area servicing (supports gravity to Brunello) (AM)</t>
  </si>
  <si>
    <t>W01.2</t>
  </si>
  <si>
    <t>Gravity Supply to Brunello</t>
  </si>
  <si>
    <t>Not Included</t>
  </si>
  <si>
    <t>W01.3</t>
  </si>
  <si>
    <t>Dominion Cres Upsize</t>
  </si>
  <si>
    <t>-improved the local system through servicing Brunello (AM)</t>
  </si>
  <si>
    <t>W02</t>
  </si>
  <si>
    <t>Geizer 158 Looping - Lacewood Dr</t>
  </si>
  <si>
    <t>-improved the local system through servicing Geizer Hill (AM)</t>
  </si>
  <si>
    <t>-improved fire flows thourgh local area servicing (Herring Cove) (AM)</t>
  </si>
  <si>
    <t>-renewal of old infrastructure to increase resiliency thourgh local area servicing (Herring Cove) (AM)</t>
  </si>
  <si>
    <t>W05.2</t>
  </si>
  <si>
    <t>St Michaels Ave Upsize</t>
  </si>
  <si>
    <t>-primary reason to provide capacity for growth</t>
  </si>
  <si>
    <t>-improve system optimization to existing infrastructure (AM)</t>
  </si>
  <si>
    <t>-primary reason to provide capacity for growth
 -moderate benefits to exsiting through resiliency to single feed (AM)</t>
  </si>
  <si>
    <t>-improved the local system through servicing Lively (AM)</t>
  </si>
  <si>
    <t xml:space="preserve">Method 4 - Flow Ratio </t>
  </si>
  <si>
    <t>-improve capacity for growth
-provide floating storage for existing area (AM)</t>
  </si>
  <si>
    <t>W20</t>
  </si>
  <si>
    <t>Second Geizer 158 Feed</t>
  </si>
  <si>
    <t>-provides system resiliency and improved operation for Akerley reservoir (AM)</t>
  </si>
  <si>
    <t>-primary reason to provide capacity for growth
-moderately benefits existing infrastrucutre through asset renewal (AM)</t>
  </si>
  <si>
    <t>-improved local system through local area servicing (AM)</t>
  </si>
  <si>
    <t>-improved fire flow in the exisintg system and resiliency to the single feed (AM)</t>
  </si>
  <si>
    <t>-improved system operation to exisitng infrastructure (AM)</t>
  </si>
  <si>
    <t>-improved resileincy in existing system (AM)</t>
  </si>
  <si>
    <t>W21</t>
  </si>
  <si>
    <t>Extension to Springfield Lake</t>
  </si>
  <si>
    <t>-provided servicing to new area (AM)
-positively impacted on wastewater servicing through the removal of water softeners (AM)</t>
  </si>
  <si>
    <t>-improved system operation for the Akerley reservoir and system resiliency (AM)
-improved capacity for growth</t>
  </si>
  <si>
    <t>-improved capacity for growth
-moderately imrpoved existing system reiliency (AM)</t>
  </si>
  <si>
    <t>W33.1</t>
  </si>
  <si>
    <t>Decommission Collins Park WSP - Linear</t>
  </si>
  <si>
    <t>W33.2</t>
  </si>
  <si>
    <t>Decommission Collins Park WSP</t>
  </si>
  <si>
    <t>W34.1</t>
  </si>
  <si>
    <t>Decommission Silversands WSP - Linear</t>
  </si>
  <si>
    <t>W34.2</t>
  </si>
  <si>
    <t>Decommission Silversands WSP</t>
  </si>
  <si>
    <t>-improved capacity for growth
-improved minor existing storage deficiency (AM)</t>
  </si>
  <si>
    <t>-improved capacity for growth
-imrpoved existing system reiliency (AM)</t>
  </si>
  <si>
    <t>-improved capacity for growth
-imrpoved existing fire flows (AM)</t>
  </si>
  <si>
    <t>-improved capacity for growth
-improved systme operation to existing infrastructure (AM)</t>
  </si>
  <si>
    <t>-compliance (assist with future growth and compliance)</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</si>
  <si>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</si>
  <si>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</si>
  <si>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</si>
  <si>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</si>
  <si>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</si>
  <si>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</si>
  <si>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</si>
  <si>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</si>
  <si>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</si>
  <si>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</si>
  <si>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</si>
  <si>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</si>
  <si>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</si>
  <si>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</si>
  <si>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</si>
  <si>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</si>
  <si>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</si>
  <si>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</si>
  <si>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Construction Interest</t>
  </si>
  <si>
    <t>Fire Protection</t>
  </si>
  <si>
    <t>Name</t>
  </si>
  <si>
    <t>Column19</t>
  </si>
  <si>
    <t>Column20</t>
  </si>
  <si>
    <t>Column21</t>
  </si>
  <si>
    <t>Column22</t>
  </si>
  <si>
    <t>Column23</t>
  </si>
  <si>
    <t>Column24</t>
  </si>
  <si>
    <t>Column25</t>
  </si>
  <si>
    <t>Column26</t>
  </si>
  <si>
    <t>Column27</t>
  </si>
  <si>
    <t>Column28</t>
  </si>
  <si>
    <t>Total 2046 Capital Program</t>
  </si>
  <si>
    <t>Total 2041 Capital Program</t>
  </si>
  <si>
    <t>Funding Subsidy</t>
  </si>
  <si>
    <t>Benefit to Existing (BTE)</t>
  </si>
  <si>
    <t>Post Period Benefit</t>
  </si>
  <si>
    <t>Total Adjusted RDC Program</t>
  </si>
  <si>
    <t>Total Growth</t>
  </si>
  <si>
    <t>Residential Growth</t>
  </si>
  <si>
    <t>Residential Share (%)</t>
  </si>
  <si>
    <t>Employment Growth</t>
  </si>
  <si>
    <t>Employment Share (%)</t>
  </si>
  <si>
    <t xml:space="preserve">Residential RDC Program </t>
  </si>
  <si>
    <t>2016-2041</t>
  </si>
  <si>
    <t>TOTAL 2046
Projects</t>
  </si>
  <si>
    <t>TOTAL Post 2041 Projects</t>
  </si>
  <si>
    <t>TOTAL 2041 
Projects</t>
  </si>
  <si>
    <t>InvConst</t>
  </si>
  <si>
    <t>FireCost</t>
  </si>
  <si>
    <t>Total RDC</t>
  </si>
  <si>
    <t>Total RDC Less Fire Protection</t>
  </si>
  <si>
    <t>Benefit to Existing</t>
  </si>
  <si>
    <t>Net Escalated Cost</t>
  </si>
  <si>
    <t>Note 1</t>
  </si>
  <si>
    <t>Note 2</t>
  </si>
  <si>
    <t>Note 3</t>
  </si>
  <si>
    <t>Note 4</t>
  </si>
  <si>
    <t>Note 5</t>
  </si>
  <si>
    <t>Note 6</t>
  </si>
  <si>
    <t>(D) = (C) * Varies%</t>
  </si>
  <si>
    <t>(U) = (S) / (T)</t>
  </si>
  <si>
    <r>
      <t>Note 2</t>
    </r>
    <r>
      <rPr>
        <sz val="8"/>
        <rFont val="Arial"/>
        <family val="2"/>
      </rPr>
      <t>: Benefit to existing Halifax Water customers, benefit varies based on project.</t>
    </r>
  </si>
  <si>
    <r>
      <t>Note 1</t>
    </r>
    <r>
      <rPr>
        <sz val="8"/>
        <rFont val="Arial"/>
        <family val="2"/>
      </rPr>
      <t>: Interest during construction 2019 onward 1.77%.</t>
    </r>
  </si>
  <si>
    <t xml:space="preserve">Total </t>
  </si>
  <si>
    <t>Inflation on RDC rate charge 2019 onward (average Halifax CPI)</t>
  </si>
  <si>
    <t>Halifax Water - Net HST</t>
  </si>
  <si>
    <t>2011-2018</t>
  </si>
  <si>
    <t>2019 Onward</t>
  </si>
  <si>
    <t>Bedford-Burnside System Interconnection</t>
  </si>
  <si>
    <t>W31.1-W31.3</t>
  </si>
  <si>
    <t>Extension of Fall River to Bennery Lake Airport System</t>
  </si>
  <si>
    <t>W29.1-W29.2</t>
  </si>
  <si>
    <t>W32.1-W32.2</t>
  </si>
  <si>
    <t>WR10-WR12</t>
  </si>
  <si>
    <t>Upgrade Quigley's Corner Pumping Station</t>
  </si>
  <si>
    <t>EP1-EP5</t>
  </si>
  <si>
    <t>D6a-D6d</t>
  </si>
  <si>
    <t>Maynard Lake and Clement Street Wetland Separation</t>
  </si>
  <si>
    <t>WRWIP: BLT Flow Diversion to Herring Cove</t>
  </si>
  <si>
    <t>MC1-MC3</t>
  </si>
  <si>
    <t>Trunk Sewer Upgrades (Sackville Trunk Upgrades)</t>
  </si>
  <si>
    <t>WR22</t>
  </si>
  <si>
    <t>WR23</t>
  </si>
  <si>
    <t>CSO Management Study</t>
  </si>
  <si>
    <t>SSO Management Study</t>
  </si>
  <si>
    <t>MC17</t>
  </si>
  <si>
    <t>EP18</t>
  </si>
  <si>
    <t>Non</t>
  </si>
  <si>
    <t>Eligible%</t>
  </si>
  <si>
    <t>WR14-WR17</t>
  </si>
  <si>
    <t>D26</t>
  </si>
  <si>
    <t>SSO Flow Management Plan</t>
  </si>
  <si>
    <t>Debt Financing</t>
  </si>
  <si>
    <t>Surplus Financing</t>
  </si>
  <si>
    <t>WRWIP: Replace Armdale Pumping Station Force mains</t>
  </si>
  <si>
    <t>WRWIP: BLT WWTF Decommission and new Timberlea PS &amp; Force main</t>
  </si>
  <si>
    <t>Gravity pressure sewer, pump out stations, surge tank gate valve, force main connections</t>
  </si>
  <si>
    <r>
      <t>per ft</t>
    </r>
    <r>
      <rPr>
        <b/>
        <vertAlign val="superscript"/>
        <sz val="10"/>
        <rFont val="Arial"/>
        <family val="2"/>
      </rPr>
      <t>2</t>
    </r>
  </si>
  <si>
    <r>
      <t>per m</t>
    </r>
    <r>
      <rPr>
        <b/>
        <vertAlign val="superscript"/>
        <sz val="10"/>
        <rFont val="Arial"/>
        <family val="2"/>
      </rPr>
      <t>2</t>
    </r>
  </si>
  <si>
    <t>Eligible %</t>
  </si>
  <si>
    <t>people per unit (PPU)</t>
  </si>
  <si>
    <t>Residential Growth
 (multi-unit dwellings)</t>
  </si>
  <si>
    <t>Residential Growth
(singles unit dwelling &amp; townhouses)</t>
  </si>
  <si>
    <t>Residential Growth (units)</t>
  </si>
  <si>
    <t>Residential Growth (people)</t>
  </si>
  <si>
    <t>Residential Growth
(cumulative people)</t>
  </si>
  <si>
    <t>Employment Growth (equivalent area sq.ft.)</t>
  </si>
  <si>
    <t>Caledonia Road Twinning</t>
  </si>
  <si>
    <t>Young Street Upsize</t>
  </si>
  <si>
    <t>Robie Street Upsize</t>
  </si>
  <si>
    <t>Almon Street Upsize</t>
  </si>
  <si>
    <t>Windsor Street Upsize</t>
  </si>
  <si>
    <t>Windmill Road Upsize</t>
  </si>
  <si>
    <t>Windgate Drive Upsize</t>
  </si>
  <si>
    <t>Lucasville Road Twinning (Phase 2)</t>
  </si>
  <si>
    <t>Herring Cove Road Looping - McIntosh St</t>
  </si>
  <si>
    <t>New Breeze Drive Water main</t>
  </si>
  <si>
    <t>multi-unit dwelling market share</t>
  </si>
  <si>
    <t>single unit dwelling market share</t>
  </si>
  <si>
    <t>Net Cash</t>
  </si>
  <si>
    <t>Net Finance</t>
  </si>
  <si>
    <t>Yearly</t>
  </si>
  <si>
    <t>Cumulative Cost</t>
  </si>
  <si>
    <t>CUMULATIVE</t>
  </si>
  <si>
    <t>Debt Financing Financing 2019 onward</t>
  </si>
  <si>
    <t>Debt Financing Financing 2014-2018</t>
  </si>
  <si>
    <t>RDC Escalation</t>
  </si>
  <si>
    <t>Infrastructure Escalation</t>
  </si>
  <si>
    <t>Interest during construction</t>
  </si>
  <si>
    <t>Total cost of wastewater infrastructure program to the benefit of the RDC</t>
  </si>
  <si>
    <t>Total cost of wastewater infrastructure program to the benefit of the RDC plus IDC</t>
  </si>
  <si>
    <t>Less: portion of infrastructure that benefits Halifax Water customers to be deducted</t>
  </si>
  <si>
    <t>Less: portion of infrastructure that benefits the post period</t>
  </si>
  <si>
    <t>Net regional development charge infrastructure (wastewater)</t>
  </si>
  <si>
    <t>Less: inflation adjustment</t>
  </si>
  <si>
    <t>Total regional development charge cost to be recovered</t>
  </si>
  <si>
    <t>Residential growth percentage (residential growth / total growth)</t>
  </si>
  <si>
    <t>Residential benefit of the regional development charge</t>
  </si>
  <si>
    <t>Employment benefit of the regional development charge</t>
  </si>
  <si>
    <t>Projected number of residential units</t>
  </si>
  <si>
    <t>Projected number of single unit dwellings / townhouses (units)</t>
  </si>
  <si>
    <t>Projected number of multi-unit dwellings (units)</t>
  </si>
  <si>
    <t>Relative density factor</t>
  </si>
  <si>
    <t>Single unit dwelling / townhouse regional development charge</t>
  </si>
  <si>
    <t>Multi-unit dwelling regional development charge</t>
  </si>
  <si>
    <t>Non-residential regional development charge</t>
  </si>
  <si>
    <t>Wastewater Regional Development Charge Summary</t>
  </si>
  <si>
    <t>Water Regional Development Charge Summary</t>
  </si>
  <si>
    <t>Total cost of water infrastructure program to the benefit of the RDC</t>
  </si>
  <si>
    <t>Total cost of water infrastructure program to the benefit of the RDC plus IDC</t>
  </si>
  <si>
    <t>Net regional development charge infrastructure (water)</t>
  </si>
  <si>
    <t>Wastewater Infrastructure Program</t>
  </si>
  <si>
    <t>Regional Development Charge - Wastewater</t>
  </si>
  <si>
    <t>Water Infrastructure Program</t>
  </si>
  <si>
    <t>Regional Development Charge - Water</t>
  </si>
  <si>
    <t>Water Regional Development Chage Financial Model</t>
  </si>
  <si>
    <t>Wastewater Regional Development Charge Financial Model</t>
  </si>
  <si>
    <t xml:space="preserve">  </t>
  </si>
  <si>
    <t>Growth</t>
  </si>
  <si>
    <t>Should be zero</t>
  </si>
  <si>
    <t>to 2039</t>
  </si>
  <si>
    <t>SUD/TH</t>
  </si>
  <si>
    <t xml:space="preserve">MUD </t>
  </si>
  <si>
    <t>Water RDC 2019 Base Charge</t>
  </si>
  <si>
    <t>Wastewater RDC 2019 Base Charge</t>
  </si>
  <si>
    <t xml:space="preserve">SUD/TH </t>
  </si>
  <si>
    <t>2019-2021</t>
  </si>
  <si>
    <t>to 2041</t>
  </si>
  <si>
    <t>Actuals 2014 to 2018</t>
  </si>
  <si>
    <r>
      <t>ICI ($ / m</t>
    </r>
    <r>
      <rPr>
        <b/>
        <vertAlign val="superscript"/>
        <sz val="10"/>
        <rFont val="Arial"/>
        <family val="2"/>
      </rPr>
      <t>2</t>
    </r>
    <r>
      <rPr>
        <b/>
        <sz val="10"/>
        <rFont val="Arial"/>
        <family val="2"/>
      </rPr>
      <t>)</t>
    </r>
  </si>
  <si>
    <r>
      <t>ICI ($ / ft</t>
    </r>
    <r>
      <rPr>
        <b/>
        <vertAlign val="superscript"/>
        <sz val="10"/>
        <rFont val="Arial"/>
        <family val="2"/>
      </rPr>
      <t>2</t>
    </r>
    <r>
      <rPr>
        <b/>
        <sz val="10"/>
        <rFont val="Arial"/>
        <family val="2"/>
      </rPr>
      <t>)</t>
    </r>
  </si>
  <si>
    <t>Single Unit ($ / unit)</t>
  </si>
  <si>
    <t>Multi Unit ($ / unit)</t>
  </si>
  <si>
    <t>Water RDC - Projected Escalations</t>
  </si>
  <si>
    <t>Wastewater RDC - Projected Escalations</t>
  </si>
  <si>
    <t>Q4 2018</t>
  </si>
  <si>
    <t>Q4 2019</t>
  </si>
  <si>
    <t>February 2020, Statistics Canada released the 2019 non-res CPI, to the new 2017 benchmark</t>
  </si>
  <si>
    <t>1 year</t>
  </si>
  <si>
    <t>20 years</t>
  </si>
  <si>
    <t>Population Projections</t>
  </si>
  <si>
    <t>30 years</t>
  </si>
  <si>
    <t>21 years</t>
  </si>
  <si>
    <t>Residential</t>
  </si>
  <si>
    <t>Period (years)</t>
  </si>
  <si>
    <t>Start Date</t>
  </si>
  <si>
    <t>End Date</t>
  </si>
  <si>
    <t>Regional Development Charge - Variables</t>
  </si>
  <si>
    <t>Total projected residential growth between April 1, 2019 - March 31, 2040 (people)</t>
  </si>
  <si>
    <r>
      <rPr>
        <b/>
        <sz val="8"/>
        <rFont val="Arial"/>
        <family val="2"/>
      </rPr>
      <t>Note 3</t>
    </r>
    <r>
      <rPr>
        <sz val="8"/>
        <rFont val="Arial"/>
        <family val="2"/>
      </rPr>
      <t>: Benefit to population growth beyond March 31, 2040.  This benefit would be recovered in subsequent RDC updates.  PPB not applied to completed projects.</t>
    </r>
  </si>
  <si>
    <r>
      <t>Note 3</t>
    </r>
    <r>
      <rPr>
        <sz val="8"/>
        <rFont val="Arial"/>
        <family val="2"/>
      </rPr>
      <t>: Benefit to population growth beyond March 31, 2040.  This benefit would be recovered in subsequent RDC updates.</t>
    </r>
  </si>
  <si>
    <r>
      <t>Note 5</t>
    </r>
    <r>
      <rPr>
        <sz val="8"/>
        <rFont val="Arial"/>
        <family val="2"/>
      </rPr>
      <t>: Residential population projection adjusted to project April 1, 2019 - March 31, 2040.  RDC payments made from 2014 through 2018 have been inserted into the model.</t>
    </r>
  </si>
  <si>
    <r>
      <t>Note 6</t>
    </r>
    <r>
      <rPr>
        <sz val="8"/>
        <rFont val="Arial"/>
        <family val="2"/>
      </rPr>
      <t>: Employment population projection adjusted to project April 1, 2019 - March 31, 2040.  RDC payments made from 2014 through 2018 have been inserted into the model.</t>
    </r>
  </si>
  <si>
    <t>Phase Costs - 2014 to March 31, 2040</t>
  </si>
  <si>
    <t>Financial Model Period April 1, 2020 to March 31, 2040</t>
  </si>
  <si>
    <t>Estimated April 1, 2019 to March 31, 2020</t>
  </si>
  <si>
    <t>Integrated Master Plan - Population</t>
  </si>
  <si>
    <t>XXX</t>
  </si>
  <si>
    <t>Halifax Treatment Plant Compliance Upgrade</t>
  </si>
  <si>
    <t xml:space="preserve">Dartmouth WWTF </t>
  </si>
  <si>
    <t>to 2040</t>
  </si>
  <si>
    <t>Employment growth percentage (employment PE growth / total growth)</t>
  </si>
  <si>
    <t>Total projected employment PE growth between April 1, 2019 - March 31, 2040 (PE)</t>
  </si>
  <si>
    <t>Total Growth (PE)</t>
  </si>
  <si>
    <t>Employment Growth
(PE)</t>
  </si>
  <si>
    <t>Period Growth (PE)</t>
  </si>
  <si>
    <t>Employment (PE)</t>
  </si>
  <si>
    <t>Assumptions, NSUARB decision document #280268 dated February 12, 2021</t>
  </si>
  <si>
    <t>Note 7</t>
  </si>
  <si>
    <r>
      <t>Note 7</t>
    </r>
    <r>
      <rPr>
        <sz val="8"/>
        <rFont val="Arial"/>
        <family val="2"/>
      </rPr>
      <t>: Relationship factor between a multi-unit dwelling and a single unit dwelling, values are derived from the Halifax Regional Subdivision By-law and Halifax Planning</t>
    </r>
    <r>
      <rPr>
        <b/>
        <sz val="8"/>
        <rFont val="Arial"/>
        <family val="2"/>
      </rPr>
      <t>.</t>
    </r>
  </si>
  <si>
    <t>H-24 - Employment/Resdiential Ratio * 0.965</t>
  </si>
  <si>
    <t>Data Source: Statistics Canada - see Non-Res Constr tab</t>
  </si>
  <si>
    <r>
      <rPr>
        <b/>
        <sz val="8"/>
        <rFont val="Arial"/>
        <family val="2"/>
      </rPr>
      <t>Note 4</t>
    </r>
    <r>
      <rPr>
        <sz val="8"/>
        <rFont val="Arial"/>
        <family val="2"/>
      </rPr>
      <t>: Inflation adjustment, in the absence of escalation factors (Halifax CPI applied to the RDC and non-res construction CPI applied to the infrastructure cost estimates) equals the amount of financing charges. The inflation adjustment within the RDC offsets the financing charges so that a 2019 base charge (year 1) can be calculated.</t>
    </r>
  </si>
  <si>
    <t>Total Growth (PE Adjusted)</t>
  </si>
  <si>
    <t>Employment density (FSWPE)</t>
  </si>
  <si>
    <t>target employment growth HRM Regional Plan</t>
  </si>
  <si>
    <t>employment PE growth (derived using H-24 M09494)</t>
  </si>
  <si>
    <t xml:space="preserve">employment denisty floor space per worker (FSW, sq.ft./worker) </t>
  </si>
  <si>
    <t>employment density floor space per worker population equivalent (FSWPE, sq.ft/worker PE, 781sq.ft./.965)</t>
  </si>
  <si>
    <t>population equivalent (PE) to one employee (U-16 methodology of M09494)</t>
  </si>
  <si>
    <t>Time period</t>
  </si>
  <si>
    <t>Residential growth</t>
  </si>
  <si>
    <t>Employment growth to 2046</t>
  </si>
  <si>
    <t>Employment PE growth to 2046</t>
  </si>
  <si>
    <t xml:space="preserve">Residential growth </t>
  </si>
  <si>
    <t xml:space="preserve">Employment growth </t>
  </si>
  <si>
    <t>2019 estimated RDC collections</t>
  </si>
  <si>
    <t xml:space="preserve">Financial model </t>
  </si>
  <si>
    <t>Total residential growth</t>
  </si>
  <si>
    <t>Total employment population equivalent growth</t>
  </si>
  <si>
    <t xml:space="preserve">Employment population equivalent Growth </t>
  </si>
  <si>
    <t>sq.ft. per worker population equivalent</t>
  </si>
  <si>
    <t>per worker population equivalent</t>
  </si>
  <si>
    <t>Employment benefit regional development charge per worker population equivalent</t>
  </si>
  <si>
    <t>Employment
PE Growth
(cumulative 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</si>
</sst>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0.0000"/>
    <numFmt numFmtId="165" formatCode="&quot;$&quot;#,##0.00"/>
    <numFmt numFmtId="166" formatCode="&quot;$&quot;#,##0"/>
    <numFmt numFmtId="167" formatCode="0.000"/>
    <numFmt numFmtId="168" formatCode="0.0000"/>
    <numFmt numFmtId="169" formatCode="0.000%"/>
    <numFmt numFmtId="170" formatCode="0.0000%"/>
    <numFmt numFmtId="171" formatCode="_(&quot;$&quot;* #,##0_);_(&quot;$&quot;* \(#,##0\);_(&quot;$&quot;* &quot;-&quot;??_);_(@_)"/>
    <numFmt numFmtId="172" formatCode="0.0%"/>
    <numFmt numFmtId="173" formatCode="_(* #,##0.0_);_(* \(#,##0.0\);_(* &quot;-&quot;??_);_(@_)"/>
    <numFmt numFmtId="174" formatCode="_-&quot;$&quot;* #,##0.00_-;\-&quot;$&quot;* #,##0.00_-;_-&quot;$&quot;* &quot;-&quot;??_-;_-@_-"/>
    <numFmt numFmtId="175" formatCode="0.0"/>
    <numFmt numFmtId="176" formatCode="_(* #,##0.000_);_(* \(#,##0.000\);_(* &quot;-&quot;??_);_(@_)"/>
    <numFmt numFmtId="177" formatCode="_(* #,##0_);_(* \(#,##0\);_(* &quot;-&quot;??_);_(@_)"/>
    <numFmt numFmtId="178" formatCode="_(* #,##0.0_);_(* \(#,##0.0\);_(* &quot;-&quot;?_);_(@_)"/>
    <numFmt numFmtId="179" formatCode="[$-409]mmmm\ d\,\ yyyy;@"/>
  </numFmts>
  <fonts count="5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Arial"/>
      <family val="2"/>
    </font>
    <font>
      <i/>
      <sz val="10"/>
      <name val="Arial"/>
      <family val="2"/>
    </font>
    <font>
      <sz val="14"/>
      <name val="Arial"/>
      <family val="2"/>
    </font>
    <font>
      <b/>
      <sz val="8"/>
      <name val="Arial"/>
      <family val="2"/>
    </font>
    <font>
      <sz val="10"/>
      <name val="Arial"/>
      <family val="2"/>
    </font>
    <font>
      <sz val="11"/>
      <name val="Arial"/>
      <family val="2"/>
    </font>
    <font>
      <b/>
      <sz val="18"/>
      <name val="Arial"/>
      <family val="2"/>
    </font>
    <font>
      <sz val="18"/>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u/>
      <sz val="10"/>
      <color theme="10"/>
      <name val="Arial"/>
      <family val="2"/>
    </font>
    <font>
      <sz val="10"/>
      <color rgb="FF00B0F0"/>
      <name val="Arial"/>
      <family val="2"/>
    </font>
    <font>
      <sz val="10"/>
      <color theme="4"/>
      <name val="Arial"/>
      <family val="2"/>
    </font>
    <font>
      <b/>
      <i/>
      <sz val="10"/>
      <color rgb="FFFF0000"/>
      <name val="Arial"/>
      <family val="2"/>
    </font>
    <font>
      <b/>
      <u/>
      <sz val="10"/>
      <color theme="10"/>
      <name val="Arial"/>
      <family val="2"/>
    </font>
    <font>
      <b/>
      <sz val="10"/>
      <color theme="1"/>
      <name val="Arial"/>
      <family val="2"/>
    </font>
    <font>
      <b/>
      <sz val="18"/>
      <color rgb="FFFF0000"/>
      <name val="Arial"/>
      <family val="2"/>
    </font>
    <font>
      <b/>
      <i/>
      <sz val="10"/>
      <color rgb="FF00B050"/>
      <name val="Arial"/>
      <family val="2"/>
    </font>
    <font>
      <u/>
      <sz val="11"/>
      <color theme="10"/>
      <name val="Calibri"/>
      <family val="2"/>
      <scheme val="minor"/>
    </font>
    <font>
      <sz val="22"/>
      <color theme="1"/>
      <name val="Calibri"/>
      <family val="2"/>
      <scheme val="minor"/>
    </font>
    <font>
      <sz val="22"/>
      <name val="Arial"/>
      <family val="2"/>
    </font>
    <font>
      <b/>
      <sz val="22"/>
      <color theme="1"/>
      <name val="Calibri"/>
      <family val="2"/>
      <scheme val="minor"/>
    </font>
    <font>
      <b/>
      <i/>
      <sz val="10"/>
      <name val="Arial"/>
      <family val="2"/>
    </font>
    <font>
      <b/>
      <sz val="18"/>
      <color theme="1"/>
      <name val="Arial"/>
      <family val="2"/>
    </font>
    <font>
      <b/>
      <sz val="14"/>
      <color theme="1"/>
      <name val="Arial"/>
      <family val="2"/>
    </font>
    <font>
      <b/>
      <vertAlign val="superscript"/>
      <sz val="10"/>
      <name val="Arial"/>
      <family val="2"/>
    </font>
    <font>
      <sz val="14"/>
      <color theme="1"/>
      <name val="Calibri"/>
      <family val="2"/>
      <scheme val="minor"/>
    </font>
    <font>
      <b/>
      <sz val="14"/>
      <color theme="1"/>
      <name val="Calibri"/>
      <family val="2"/>
      <scheme val="minor"/>
    </font>
    <font>
      <b/>
      <sz val="14"/>
      <name val="Calibri"/>
      <family val="2"/>
      <scheme val="minor"/>
    </font>
    <font>
      <sz val="14"/>
      <name val="Calibri"/>
      <family val="2"/>
      <scheme val="minor"/>
    </font>
    <font>
      <b/>
      <i/>
      <sz val="10"/>
      <color theme="3" tint="0.39997558519241921"/>
      <name val="Arial"/>
      <family val="2"/>
    </font>
    <font>
      <sz val="10"/>
      <color theme="1"/>
      <name val="Arial"/>
      <family val="2"/>
    </font>
    <font>
      <b/>
      <sz val="14"/>
      <color rgb="FFFF0000"/>
      <name val="Arial"/>
      <family val="2"/>
    </font>
    <font>
      <b/>
      <u/>
      <sz val="16"/>
      <name val="Arial"/>
      <family val="2"/>
    </font>
    <font>
      <sz val="22"/>
      <name val="Calibri"/>
      <family val="2"/>
      <scheme val="minor"/>
    </font>
    <font>
      <sz val="8"/>
      <name val="Arial"/>
    </font>
    <font>
      <b/>
      <sz val="22"/>
      <name val="Arial"/>
      <family val="2"/>
    </font>
  </fonts>
  <fills count="6">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8" tint="0.59999389629810485"/>
        <bgColor indexed="64"/>
      </patternFill>
    </fill>
  </fills>
  <borders count="13">
    <border>
      <left/>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top style="medium">
        <color auto="1"/>
      </top>
      <bottom/>
      <diagonal/>
    </border>
    <border>
      <left/>
      <right/>
      <top style="medium">
        <color auto="1"/>
      </top>
      <bottom style="double">
        <color auto="1"/>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64">
    <xf numFmtId="0" fontId="0" fillId="0" borderId="0"/>
    <xf numFmtId="43" fontId="9"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9"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3" fontId="9" fillId="0" borderId="0"/>
    <xf numFmtId="44" fontId="9"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174" fontId="23" fillId="0" borderId="0" applyFont="0" applyFill="0" applyBorder="0" applyAlignment="0" applyProtection="0"/>
    <xf numFmtId="174" fontId="24" fillId="0" borderId="0" applyFont="0" applyFill="0" applyBorder="0" applyAlignment="0" applyProtection="0"/>
    <xf numFmtId="5" fontId="9" fillId="0" borderId="0"/>
    <xf numFmtId="14" fontId="9" fillId="0" borderId="0"/>
    <xf numFmtId="2" fontId="9" fillId="0" borderId="0"/>
    <xf numFmtId="0" fontId="26" fillId="0" borderId="0" applyNumberFormat="0" applyFill="0" applyBorder="0" applyAlignment="0" applyProtection="0">
      <alignment vertical="top"/>
      <protection locked="0"/>
    </xf>
    <xf numFmtId="0" fontId="13" fillId="0" borderId="0"/>
    <xf numFmtId="0" fontId="13" fillId="0" borderId="0"/>
    <xf numFmtId="0" fontId="9" fillId="0" borderId="0"/>
    <xf numFmtId="0" fontId="9" fillId="0" borderId="0"/>
    <xf numFmtId="0" fontId="25" fillId="0" borderId="0"/>
    <xf numFmtId="0" fontId="21" fillId="0" borderId="0"/>
    <xf numFmtId="0" fontId="22" fillId="0" borderId="0"/>
    <xf numFmtId="0" fontId="9" fillId="0" borderId="0"/>
    <xf numFmtId="0" fontId="25" fillId="0" borderId="0"/>
    <xf numFmtId="0" fontId="25" fillId="0" borderId="0"/>
    <xf numFmtId="0" fontId="25" fillId="0" borderId="0"/>
    <xf numFmtId="0" fontId="25" fillId="0" borderId="0"/>
    <xf numFmtId="9" fontId="9"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10" fontId="9" fillId="0" borderId="0"/>
    <xf numFmtId="9" fontId="23" fillId="0" borderId="0" applyFont="0" applyFill="0" applyBorder="0" applyAlignment="0" applyProtection="0"/>
    <xf numFmtId="9" fontId="24" fillId="0" borderId="0" applyFont="0" applyFill="0" applyBorder="0" applyAlignment="0" applyProtection="0"/>
    <xf numFmtId="0" fontId="8" fillId="0" borderId="0"/>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7" fillId="0" borderId="0"/>
    <xf numFmtId="9" fontId="7" fillId="0" borderId="0" applyFont="0" applyFill="0" applyBorder="0" applyAlignment="0" applyProtection="0"/>
    <xf numFmtId="0" fontId="6" fillId="0" borderId="0"/>
    <xf numFmtId="9" fontId="6" fillId="0" borderId="0" applyFont="0" applyFill="0" applyBorder="0" applyAlignment="0" applyProtection="0"/>
    <xf numFmtId="0" fontId="34" fillId="0" borderId="0" applyNumberFormat="0" applyFill="0" applyBorder="0" applyAlignment="0" applyProtection="0"/>
    <xf numFmtId="0" fontId="5" fillId="0" borderId="0"/>
    <xf numFmtId="44" fontId="5"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0" fontId="2" fillId="0" borderId="0"/>
  </cellStyleXfs>
  <cellXfs count="362">
    <xf numFmtId="0" fontId="0" fillId="0" borderId="0" xfId="0"/>
    <xf numFmtId="165" fontId="0" fillId="0" borderId="0" xfId="0" applyNumberFormat="1"/>
    <xf numFmtId="0" fontId="11" fillId="0" borderId="0" xfId="0" applyFont="1"/>
    <xf numFmtId="0" fontId="12" fillId="0" borderId="0" xfId="0" applyFont="1"/>
    <xf numFmtId="0" fontId="11" fillId="0" borderId="0" xfId="0" applyFont="1" applyAlignment="1">
      <alignment horizontal="center"/>
    </xf>
    <xf numFmtId="0" fontId="0" fillId="0" borderId="0" xfId="0" applyFill="1"/>
    <xf numFmtId="0" fontId="0" fillId="0" borderId="0" xfId="0" applyBorder="1"/>
    <xf numFmtId="0" fontId="11" fillId="0" borderId="0" xfId="0" applyFont="1" applyBorder="1" applyAlignment="1">
      <alignment horizontal="center"/>
    </xf>
    <xf numFmtId="0" fontId="17" fillId="0" borderId="0" xfId="0" applyFont="1"/>
    <xf numFmtId="168" fontId="0" fillId="0" borderId="0" xfId="0" applyNumberFormat="1"/>
    <xf numFmtId="10" fontId="0" fillId="0" borderId="0" xfId="0" applyNumberFormat="1"/>
    <xf numFmtId="0" fontId="14" fillId="0" borderId="0" xfId="0" applyFont="1"/>
    <xf numFmtId="0" fontId="0" fillId="0" borderId="0" xfId="0" applyAlignment="1">
      <alignment horizontal="left" wrapText="1"/>
    </xf>
    <xf numFmtId="165" fontId="11" fillId="0" borderId="0" xfId="0" applyNumberFormat="1" applyFont="1"/>
    <xf numFmtId="0" fontId="11" fillId="0" borderId="0" xfId="0" applyFont="1" applyBorder="1"/>
    <xf numFmtId="0" fontId="11" fillId="0" borderId="1" xfId="0" applyFont="1" applyBorder="1"/>
    <xf numFmtId="0" fontId="11" fillId="0" borderId="1" xfId="0" applyFont="1" applyBorder="1" applyAlignment="1">
      <alignment horizontal="center"/>
    </xf>
    <xf numFmtId="168" fontId="17" fillId="0" borderId="0" xfId="0" applyNumberFormat="1" applyFont="1"/>
    <xf numFmtId="166" fontId="17" fillId="0" borderId="0" xfId="0" applyNumberFormat="1" applyFont="1"/>
    <xf numFmtId="0" fontId="18" fillId="0" borderId="0" xfId="0" applyFont="1"/>
    <xf numFmtId="171" fontId="17" fillId="0" borderId="0" xfId="9" applyNumberFormat="1" applyFont="1"/>
    <xf numFmtId="0" fontId="13" fillId="0" borderId="0" xfId="0" applyFont="1" applyFill="1" applyBorder="1"/>
    <xf numFmtId="0" fontId="13" fillId="0" borderId="0" xfId="0" applyFont="1"/>
    <xf numFmtId="0" fontId="0" fillId="0" borderId="0" xfId="0" applyAlignment="1">
      <alignment horizontal="center"/>
    </xf>
    <xf numFmtId="171" fontId="0" fillId="0" borderId="0" xfId="9" applyNumberFormat="1" applyFont="1"/>
    <xf numFmtId="6" fontId="0" fillId="0" borderId="0" xfId="9" applyNumberFormat="1" applyFont="1"/>
    <xf numFmtId="6" fontId="0" fillId="0" borderId="0" xfId="9" applyNumberFormat="1" applyFont="1" applyFill="1"/>
    <xf numFmtId="6" fontId="17" fillId="0" borderId="0" xfId="9" applyNumberFormat="1" applyFont="1" applyFill="1"/>
    <xf numFmtId="6" fontId="17" fillId="0" borderId="0" xfId="9" applyNumberFormat="1" applyFont="1"/>
    <xf numFmtId="168" fontId="11" fillId="0" borderId="0" xfId="0" applyNumberFormat="1" applyFont="1" applyBorder="1" applyAlignment="1">
      <alignment horizontal="center"/>
    </xf>
    <xf numFmtId="3" fontId="11" fillId="0" borderId="0" xfId="0" applyNumberFormat="1" applyFont="1" applyBorder="1" applyAlignment="1">
      <alignment horizontal="center"/>
    </xf>
    <xf numFmtId="171" fontId="11" fillId="0" borderId="0" xfId="9" applyNumberFormat="1" applyFont="1" applyBorder="1" applyAlignment="1">
      <alignment horizontal="center"/>
    </xf>
    <xf numFmtId="6" fontId="11" fillId="0" borderId="0" xfId="9" applyNumberFormat="1" applyFont="1" applyFill="1" applyBorder="1" applyAlignment="1">
      <alignment horizontal="center"/>
    </xf>
    <xf numFmtId="6" fontId="13" fillId="0" borderId="0" xfId="9" applyNumberFormat="1" applyFont="1" applyFill="1"/>
    <xf numFmtId="6" fontId="17" fillId="0" borderId="0" xfId="9" applyNumberFormat="1" applyFont="1" applyBorder="1"/>
    <xf numFmtId="6" fontId="17" fillId="0" borderId="0" xfId="9" applyNumberFormat="1" applyFont="1" applyFill="1" applyBorder="1"/>
    <xf numFmtId="171" fontId="29" fillId="0" borderId="0" xfId="9" applyNumberFormat="1" applyFont="1" applyBorder="1" applyAlignment="1">
      <alignment horizontal="center"/>
    </xf>
    <xf numFmtId="0" fontId="12" fillId="0" borderId="0" xfId="0" applyFont="1" applyBorder="1" applyAlignment="1"/>
    <xf numFmtId="168" fontId="11" fillId="0" borderId="1" xfId="0" applyNumberFormat="1" applyFont="1" applyBorder="1" applyAlignment="1">
      <alignment horizontal="center"/>
    </xf>
    <xf numFmtId="0" fontId="28" fillId="0" borderId="0" xfId="0" applyFont="1" applyBorder="1" applyAlignment="1">
      <alignment horizontal="center"/>
    </xf>
    <xf numFmtId="0" fontId="17" fillId="0" borderId="0" xfId="0" applyFont="1" applyAlignment="1">
      <alignment horizontal="center"/>
    </xf>
    <xf numFmtId="0" fontId="11" fillId="0" borderId="0" xfId="0" quotePrefix="1" applyFont="1" applyBorder="1" applyAlignment="1">
      <alignment horizontal="center"/>
    </xf>
    <xf numFmtId="0" fontId="16" fillId="0" borderId="0" xfId="0" applyFont="1" applyBorder="1" applyAlignment="1">
      <alignment wrapText="1"/>
    </xf>
    <xf numFmtId="0" fontId="16" fillId="0" borderId="0" xfId="0" applyFont="1" applyBorder="1" applyAlignment="1">
      <alignment horizontal="center"/>
    </xf>
    <xf numFmtId="0" fontId="16" fillId="0" borderId="0" xfId="0" applyFont="1" applyFill="1" applyBorder="1" applyAlignment="1">
      <alignment horizontal="center"/>
    </xf>
    <xf numFmtId="0" fontId="19" fillId="0" borderId="0" xfId="0" applyFont="1"/>
    <xf numFmtId="0" fontId="20" fillId="0" borderId="0" xfId="0" applyFont="1"/>
    <xf numFmtId="168" fontId="20" fillId="0" borderId="0" xfId="0" applyNumberFormat="1" applyFont="1"/>
    <xf numFmtId="3" fontId="20" fillId="0" borderId="0" xfId="0" applyNumberFormat="1" applyFont="1"/>
    <xf numFmtId="171" fontId="20" fillId="0" borderId="0" xfId="9" applyNumberFormat="1" applyFont="1"/>
    <xf numFmtId="6" fontId="20" fillId="0" borderId="0" xfId="9" applyNumberFormat="1" applyFont="1"/>
    <xf numFmtId="6" fontId="20" fillId="0" borderId="0" xfId="9" applyNumberFormat="1" applyFont="1" applyFill="1"/>
    <xf numFmtId="0" fontId="20" fillId="0" borderId="0" xfId="0" applyFont="1" applyBorder="1"/>
    <xf numFmtId="7" fontId="0" fillId="0" borderId="0" xfId="0" applyNumberFormat="1"/>
    <xf numFmtId="168" fontId="28" fillId="0" borderId="0" xfId="0" applyNumberFormat="1" applyFont="1" applyBorder="1"/>
    <xf numFmtId="168" fontId="17" fillId="0" borderId="0" xfId="0" applyNumberFormat="1" applyFont="1" applyBorder="1"/>
    <xf numFmtId="167" fontId="20" fillId="0" borderId="0" xfId="1" applyNumberFormat="1" applyFont="1" applyAlignment="1">
      <alignment horizontal="center"/>
    </xf>
    <xf numFmtId="167" fontId="0" fillId="0" borderId="0" xfId="1" applyNumberFormat="1" applyFont="1" applyAlignment="1">
      <alignment horizontal="center"/>
    </xf>
    <xf numFmtId="167" fontId="11" fillId="0" borderId="0" xfId="1" applyNumberFormat="1" applyFont="1" applyBorder="1" applyAlignment="1">
      <alignment horizontal="center"/>
    </xf>
    <xf numFmtId="167" fontId="11" fillId="0" borderId="1" xfId="1" applyNumberFormat="1" applyFont="1" applyBorder="1" applyAlignment="1">
      <alignment horizontal="center"/>
    </xf>
    <xf numFmtId="167" fontId="17" fillId="0" borderId="0" xfId="1" applyNumberFormat="1" applyFont="1" applyBorder="1" applyAlignment="1">
      <alignment horizontal="center"/>
    </xf>
    <xf numFmtId="167" fontId="17" fillId="0" borderId="0" xfId="1" applyNumberFormat="1" applyFont="1" applyAlignment="1">
      <alignment horizontal="center"/>
    </xf>
    <xf numFmtId="0" fontId="9" fillId="0" borderId="0" xfId="0" applyFont="1"/>
    <xf numFmtId="0" fontId="9" fillId="0" borderId="0" xfId="0" applyFont="1" applyFill="1" applyBorder="1"/>
    <xf numFmtId="0" fontId="11" fillId="0" borderId="0" xfId="0" applyFont="1" applyFill="1" applyBorder="1" applyAlignment="1">
      <alignment horizontal="center"/>
    </xf>
    <xf numFmtId="0" fontId="27" fillId="0" borderId="0" xfId="0" applyFont="1" applyFill="1" applyAlignment="1">
      <alignment horizontal="center"/>
    </xf>
    <xf numFmtId="165" fontId="27" fillId="0" borderId="0" xfId="0" applyNumberFormat="1" applyFont="1" applyFill="1"/>
    <xf numFmtId="165" fontId="27" fillId="0" borderId="0" xfId="0" applyNumberFormat="1" applyFont="1" applyFill="1" applyBorder="1"/>
    <xf numFmtId="168" fontId="27" fillId="0" borderId="0" xfId="0" applyNumberFormat="1" applyFont="1" applyFill="1" applyBorder="1"/>
    <xf numFmtId="0" fontId="31" fillId="0" borderId="0" xfId="0" applyFont="1" applyFill="1" applyAlignment="1">
      <alignment horizontal="center"/>
    </xf>
    <xf numFmtId="0" fontId="11" fillId="0" borderId="0" xfId="0" applyFont="1" applyFill="1"/>
    <xf numFmtId="165" fontId="11" fillId="0" borderId="0" xfId="0" applyNumberFormat="1" applyFont="1" applyFill="1"/>
    <xf numFmtId="0" fontId="27" fillId="0" borderId="0" xfId="0" applyFont="1" applyFill="1" applyBorder="1" applyAlignment="1">
      <alignment horizontal="center"/>
    </xf>
    <xf numFmtId="0" fontId="31" fillId="0" borderId="0" xfId="0" applyFont="1" applyFill="1" applyBorder="1" applyAlignment="1">
      <alignment horizontal="center"/>
    </xf>
    <xf numFmtId="0" fontId="11" fillId="0" borderId="0" xfId="0" applyFont="1" applyFill="1" applyBorder="1"/>
    <xf numFmtId="0" fontId="9" fillId="0" borderId="0" xfId="0" applyFont="1" applyBorder="1"/>
    <xf numFmtId="0" fontId="20" fillId="0" borderId="0" xfId="0" applyFont="1" applyFill="1"/>
    <xf numFmtId="0" fontId="11" fillId="0" borderId="1" xfId="0" applyFont="1" applyFill="1" applyBorder="1" applyAlignment="1">
      <alignment horizontal="center"/>
    </xf>
    <xf numFmtId="44" fontId="0" fillId="0" borderId="0" xfId="9" applyFont="1"/>
    <xf numFmtId="10" fontId="11" fillId="0" borderId="0" xfId="0" applyNumberFormat="1" applyFont="1" applyFill="1" applyBorder="1" applyAlignment="1">
      <alignment horizontal="center"/>
    </xf>
    <xf numFmtId="164" fontId="0" fillId="0" borderId="0" xfId="0" applyNumberFormat="1" applyFill="1"/>
    <xf numFmtId="172" fontId="0" fillId="0" borderId="0" xfId="37" applyNumberFormat="1" applyFont="1"/>
    <xf numFmtId="169" fontId="0" fillId="0" borderId="0" xfId="37" applyNumberFormat="1" applyFont="1"/>
    <xf numFmtId="167" fontId="0" fillId="0" borderId="0" xfId="0" applyNumberFormat="1" applyFill="1"/>
    <xf numFmtId="0" fontId="0" fillId="0" borderId="0" xfId="0" applyFill="1" applyBorder="1"/>
    <xf numFmtId="0" fontId="12" fillId="0" borderId="0" xfId="0" applyFont="1" applyFill="1"/>
    <xf numFmtId="0" fontId="9" fillId="0" borderId="0" xfId="0" applyFont="1" applyFill="1"/>
    <xf numFmtId="169" fontId="11" fillId="0" borderId="0" xfId="37" applyNumberFormat="1" applyFont="1" applyFill="1"/>
    <xf numFmtId="170" fontId="0" fillId="0" borderId="0" xfId="37" applyNumberFormat="1" applyFont="1" applyFill="1"/>
    <xf numFmtId="49" fontId="28" fillId="0" borderId="0" xfId="1" applyNumberFormat="1" applyFont="1" applyBorder="1" applyAlignment="1">
      <alignment horizontal="center"/>
    </xf>
    <xf numFmtId="167" fontId="11" fillId="0" borderId="0" xfId="1" applyNumberFormat="1" applyFont="1" applyAlignment="1">
      <alignment horizontal="center"/>
    </xf>
    <xf numFmtId="168" fontId="11" fillId="0" borderId="0" xfId="0" applyNumberFormat="1" applyFont="1"/>
    <xf numFmtId="6" fontId="11" fillId="0" borderId="0" xfId="9" applyNumberFormat="1" applyFont="1"/>
    <xf numFmtId="6" fontId="30" fillId="0" borderId="0" xfId="24" applyNumberFormat="1" applyFont="1" applyAlignment="1" applyProtection="1"/>
    <xf numFmtId="171" fontId="32" fillId="0" borderId="0" xfId="9" applyNumberFormat="1" applyFont="1"/>
    <xf numFmtId="0" fontId="0" fillId="3" borderId="0" xfId="0" applyFill="1"/>
    <xf numFmtId="164" fontId="0" fillId="3" borderId="0" xfId="0" applyNumberFormat="1" applyFill="1"/>
    <xf numFmtId="0" fontId="0" fillId="3" borderId="0" xfId="0" applyFill="1" applyBorder="1"/>
    <xf numFmtId="167" fontId="0" fillId="3" borderId="0" xfId="0" applyNumberFormat="1" applyFill="1" applyBorder="1"/>
    <xf numFmtId="167" fontId="0" fillId="3" borderId="0" xfId="0" applyNumberFormat="1" applyFill="1"/>
    <xf numFmtId="165" fontId="11" fillId="0" borderId="0" xfId="0" applyNumberFormat="1" applyFont="1" applyFill="1" applyBorder="1"/>
    <xf numFmtId="6" fontId="17" fillId="0" borderId="0" xfId="0" applyNumberFormat="1" applyFont="1" applyBorder="1"/>
    <xf numFmtId="6" fontId="28" fillId="0" borderId="0" xfId="0" applyNumberFormat="1" applyFont="1" applyBorder="1"/>
    <xf numFmtId="6" fontId="13" fillId="0" borderId="0" xfId="9" applyNumberFormat="1" applyFont="1" applyBorder="1"/>
    <xf numFmtId="171" fontId="9" fillId="0" borderId="0" xfId="12" applyNumberFormat="1" applyFont="1" applyFill="1" applyBorder="1" applyAlignment="1"/>
    <xf numFmtId="171" fontId="9" fillId="0" borderId="0" xfId="0" applyNumberFormat="1" applyFont="1" applyFill="1" applyBorder="1"/>
    <xf numFmtId="171" fontId="33" fillId="0" borderId="0" xfId="9" applyNumberFormat="1" applyFont="1" applyBorder="1" applyAlignment="1">
      <alignment horizontal="center"/>
    </xf>
    <xf numFmtId="6" fontId="11" fillId="0" borderId="6" xfId="9" applyNumberFormat="1" applyFont="1" applyBorder="1" applyAlignment="1">
      <alignment horizontal="center"/>
    </xf>
    <xf numFmtId="0" fontId="11" fillId="0" borderId="6" xfId="0" applyFont="1" applyBorder="1" applyAlignment="1">
      <alignment horizontal="center"/>
    </xf>
    <xf numFmtId="10" fontId="0" fillId="0" borderId="0" xfId="0" applyNumberFormat="1" applyFill="1"/>
    <xf numFmtId="6" fontId="17" fillId="0" borderId="0" xfId="0" applyNumberFormat="1" applyFont="1"/>
    <xf numFmtId="167" fontId="0" fillId="0" borderId="0" xfId="0" applyNumberFormat="1" applyFill="1" applyBorder="1" applyAlignment="1">
      <alignment horizontal="center"/>
    </xf>
    <xf numFmtId="0" fontId="6" fillId="0" borderId="0" xfId="55"/>
    <xf numFmtId="10" fontId="0" fillId="2" borderId="3" xfId="56" applyNumberFormat="1" applyFont="1" applyFill="1" applyBorder="1"/>
    <xf numFmtId="14" fontId="6" fillId="0" borderId="0" xfId="55" applyNumberFormat="1"/>
    <xf numFmtId="0" fontId="34" fillId="0" borderId="0" xfId="57"/>
    <xf numFmtId="172" fontId="0" fillId="0" borderId="0" xfId="56" applyNumberFormat="1" applyFont="1"/>
    <xf numFmtId="10" fontId="0" fillId="0" borderId="3" xfId="56" applyNumberFormat="1" applyFont="1" applyFill="1" applyBorder="1"/>
    <xf numFmtId="10" fontId="0" fillId="0" borderId="0" xfId="56" applyNumberFormat="1" applyFont="1" applyFill="1"/>
    <xf numFmtId="10" fontId="0" fillId="0" borderId="0" xfId="56" applyNumberFormat="1" applyFont="1"/>
    <xf numFmtId="172" fontId="0" fillId="4" borderId="3" xfId="56" applyNumberFormat="1" applyFont="1" applyFill="1" applyBorder="1" applyAlignment="1">
      <alignment horizontal="center"/>
    </xf>
    <xf numFmtId="175" fontId="6" fillId="0" borderId="3" xfId="55" applyNumberFormat="1" applyBorder="1" applyAlignment="1">
      <alignment horizontal="center"/>
    </xf>
    <xf numFmtId="0" fontId="6" fillId="0" borderId="3" xfId="55" applyBorder="1" applyAlignment="1">
      <alignment horizontal="center"/>
    </xf>
    <xf numFmtId="172" fontId="0" fillId="5" borderId="3" xfId="56" applyNumberFormat="1" applyFont="1" applyFill="1" applyBorder="1" applyAlignment="1">
      <alignment horizontal="center"/>
    </xf>
    <xf numFmtId="172" fontId="0" fillId="0" borderId="3" xfId="56" applyNumberFormat="1" applyFont="1" applyBorder="1" applyAlignment="1">
      <alignment horizontal="center"/>
    </xf>
    <xf numFmtId="172" fontId="0" fillId="0" borderId="3" xfId="56" applyNumberFormat="1" applyFont="1" applyBorder="1" applyAlignment="1">
      <alignment horizontal="center" wrapText="1"/>
    </xf>
    <xf numFmtId="0" fontId="6" fillId="0" borderId="3" xfId="55" applyBorder="1" applyAlignment="1">
      <alignment horizontal="center" wrapText="1"/>
    </xf>
    <xf numFmtId="172" fontId="0" fillId="0" borderId="5" xfId="56" applyNumberFormat="1" applyFont="1" applyBorder="1"/>
    <xf numFmtId="0" fontId="6" fillId="0" borderId="4" xfId="55" applyBorder="1"/>
    <xf numFmtId="0" fontId="6" fillId="0" borderId="7" xfId="55" applyBorder="1"/>
    <xf numFmtId="0" fontId="19" fillId="0" borderId="0" xfId="0" applyFont="1" applyFill="1"/>
    <xf numFmtId="6" fontId="9" fillId="0" borderId="0" xfId="9" applyNumberFormat="1" applyFont="1" applyAlignment="1">
      <alignment horizontal="right"/>
    </xf>
    <xf numFmtId="6" fontId="20" fillId="0" borderId="0" xfId="0" applyNumberFormat="1" applyFont="1"/>
    <xf numFmtId="8" fontId="17" fillId="0" borderId="0" xfId="9" applyNumberFormat="1" applyFont="1" applyFill="1" applyBorder="1"/>
    <xf numFmtId="0" fontId="4" fillId="0" borderId="0" xfId="55" applyFont="1"/>
    <xf numFmtId="171" fontId="0" fillId="0" borderId="0" xfId="0" applyNumberFormat="1" applyBorder="1" applyAlignment="1">
      <alignment horizontal="center"/>
    </xf>
    <xf numFmtId="171" fontId="0" fillId="0" borderId="0" xfId="0" applyNumberFormat="1" applyFill="1" applyBorder="1" applyAlignment="1">
      <alignment horizontal="center"/>
    </xf>
    <xf numFmtId="0" fontId="9" fillId="0" borderId="0" xfId="0" applyFont="1" applyBorder="1" applyAlignment="1">
      <alignment horizontal="center"/>
    </xf>
    <xf numFmtId="0" fontId="11" fillId="0" borderId="6" xfId="0" applyFont="1" applyFill="1" applyBorder="1" applyAlignment="1">
      <alignment horizontal="center"/>
    </xf>
    <xf numFmtId="0" fontId="11" fillId="0" borderId="6" xfId="0" applyFont="1" applyBorder="1"/>
    <xf numFmtId="0" fontId="11" fillId="0" borderId="0" xfId="0" applyFont="1" applyFill="1" applyAlignment="1">
      <alignment horizontal="right"/>
    </xf>
    <xf numFmtId="10" fontId="20" fillId="0" borderId="0" xfId="37" applyNumberFormat="1" applyFont="1" applyAlignment="1">
      <alignment horizontal="center"/>
    </xf>
    <xf numFmtId="171" fontId="0" fillId="0" borderId="0" xfId="9" applyNumberFormat="1" applyFont="1" applyFill="1" applyBorder="1" applyAlignment="1">
      <alignment horizontal="center"/>
    </xf>
    <xf numFmtId="177" fontId="0" fillId="0" borderId="0" xfId="1" applyNumberFormat="1" applyFont="1"/>
    <xf numFmtId="177" fontId="0" fillId="0" borderId="0" xfId="0" applyNumberFormat="1"/>
    <xf numFmtId="0" fontId="36" fillId="0" borderId="0" xfId="0" applyFont="1" applyBorder="1"/>
    <xf numFmtId="0" fontId="36" fillId="0" borderId="0" xfId="0" applyFont="1" applyBorder="1" applyAlignment="1">
      <alignment horizontal="center"/>
    </xf>
    <xf numFmtId="1" fontId="28" fillId="0" borderId="0" xfId="1" applyNumberFormat="1" applyFont="1" applyBorder="1" applyAlignment="1">
      <alignment horizontal="center"/>
    </xf>
    <xf numFmtId="1" fontId="20" fillId="0" borderId="0" xfId="1" applyNumberFormat="1" applyFont="1" applyAlignment="1">
      <alignment horizontal="center"/>
    </xf>
    <xf numFmtId="1" fontId="0" fillId="0" borderId="0" xfId="1" applyNumberFormat="1" applyFont="1" applyAlignment="1">
      <alignment horizontal="center"/>
    </xf>
    <xf numFmtId="1" fontId="11" fillId="0" borderId="0" xfId="1" applyNumberFormat="1" applyFont="1" applyBorder="1" applyAlignment="1">
      <alignment horizontal="center"/>
    </xf>
    <xf numFmtId="1" fontId="11" fillId="0" borderId="1" xfId="1" applyNumberFormat="1" applyFont="1" applyBorder="1" applyAlignment="1">
      <alignment horizontal="center"/>
    </xf>
    <xf numFmtId="1" fontId="9" fillId="0" borderId="0" xfId="1" applyNumberFormat="1" applyFont="1" applyBorder="1" applyAlignment="1">
      <alignment horizontal="center"/>
    </xf>
    <xf numFmtId="1" fontId="17" fillId="0" borderId="0" xfId="1" applyNumberFormat="1" applyFont="1" applyAlignment="1">
      <alignment horizontal="center"/>
    </xf>
    <xf numFmtId="1" fontId="11" fillId="0" borderId="0" xfId="1" applyNumberFormat="1" applyFont="1" applyAlignment="1">
      <alignment horizontal="center"/>
    </xf>
    <xf numFmtId="7" fontId="0" fillId="0" borderId="0" xfId="0" applyNumberFormat="1" applyFill="1"/>
    <xf numFmtId="171" fontId="11" fillId="0" borderId="0" xfId="9" applyNumberFormat="1" applyFont="1" applyFill="1" applyBorder="1" applyAlignment="1">
      <alignment horizontal="center"/>
    </xf>
    <xf numFmtId="0" fontId="0" fillId="0" borderId="0" xfId="0" applyNumberFormat="1"/>
    <xf numFmtId="44" fontId="0" fillId="0" borderId="0" xfId="0" applyNumberFormat="1" applyFont="1"/>
    <xf numFmtId="44" fontId="0" fillId="0" borderId="0" xfId="9" applyNumberFormat="1" applyFont="1"/>
    <xf numFmtId="44" fontId="11" fillId="0" borderId="0" xfId="9" applyFont="1" applyFill="1"/>
    <xf numFmtId="44" fontId="0" fillId="0" borderId="0" xfId="9" applyFont="1" applyFill="1"/>
    <xf numFmtId="169" fontId="0" fillId="0" borderId="0" xfId="37" applyNumberFormat="1" applyFont="1" applyFill="1"/>
    <xf numFmtId="169" fontId="9" fillId="0" borderId="0" xfId="37" applyNumberFormat="1" applyFont="1" applyAlignment="1">
      <alignment horizontal="center"/>
    </xf>
    <xf numFmtId="0" fontId="38" fillId="0" borderId="0" xfId="0" applyFont="1"/>
    <xf numFmtId="10" fontId="19" fillId="0" borderId="0" xfId="0" applyNumberFormat="1" applyFont="1" applyFill="1" applyBorder="1" applyAlignment="1">
      <alignment horizontal="center"/>
    </xf>
    <xf numFmtId="10" fontId="19" fillId="0" borderId="0" xfId="0" applyNumberFormat="1" applyFont="1" applyFill="1" applyBorder="1" applyAlignment="1">
      <alignment horizontal="left"/>
    </xf>
    <xf numFmtId="1" fontId="15" fillId="0" borderId="0" xfId="0" applyNumberFormat="1" applyFont="1" applyFill="1" applyAlignment="1">
      <alignment horizontal="center"/>
    </xf>
    <xf numFmtId="167" fontId="15" fillId="0" borderId="0" xfId="0" applyNumberFormat="1" applyFont="1" applyFill="1" applyAlignment="1">
      <alignment horizontal="center"/>
    </xf>
    <xf numFmtId="165" fontId="15" fillId="0" borderId="0" xfId="0" applyNumberFormat="1" applyFont="1" applyFill="1"/>
    <xf numFmtId="0" fontId="15" fillId="0" borderId="0" xfId="0" applyFont="1"/>
    <xf numFmtId="168" fontId="15" fillId="0" borderId="0" xfId="0" applyNumberFormat="1" applyFont="1"/>
    <xf numFmtId="10" fontId="12" fillId="0" borderId="0" xfId="0" applyNumberFormat="1" applyFont="1" applyFill="1" applyBorder="1" applyAlignment="1">
      <alignment horizontal="center"/>
    </xf>
    <xf numFmtId="10" fontId="12" fillId="0" borderId="0" xfId="0" applyNumberFormat="1" applyFont="1" applyFill="1" applyBorder="1" applyAlignment="1">
      <alignment horizontal="left"/>
    </xf>
    <xf numFmtId="1" fontId="15" fillId="0" borderId="0" xfId="1" applyNumberFormat="1" applyFont="1" applyAlignment="1">
      <alignment horizontal="center"/>
    </xf>
    <xf numFmtId="167" fontId="15" fillId="0" borderId="0" xfId="1" applyNumberFormat="1" applyFont="1" applyAlignment="1">
      <alignment horizontal="center"/>
    </xf>
    <xf numFmtId="3" fontId="15" fillId="0" borderId="0" xfId="0" applyNumberFormat="1" applyFont="1"/>
    <xf numFmtId="6" fontId="9" fillId="0" borderId="0" xfId="0" applyNumberFormat="1" applyFont="1" applyFill="1"/>
    <xf numFmtId="10" fontId="39" fillId="0" borderId="0" xfId="37" applyNumberFormat="1" applyFont="1" applyAlignment="1">
      <alignment horizontal="center"/>
    </xf>
    <xf numFmtId="10" fontId="40" fillId="0" borderId="0" xfId="37" applyNumberFormat="1" applyFont="1" applyAlignment="1">
      <alignment horizontal="center"/>
    </xf>
    <xf numFmtId="1" fontId="11" fillId="0" borderId="6" xfId="1" applyNumberFormat="1" applyFont="1" applyBorder="1" applyAlignment="1">
      <alignment horizontal="center"/>
    </xf>
    <xf numFmtId="167" fontId="11" fillId="0" borderId="6" xfId="1" applyNumberFormat="1" applyFont="1" applyBorder="1" applyAlignment="1">
      <alignment horizontal="center"/>
    </xf>
    <xf numFmtId="168" fontId="11" fillId="0" borderId="6" xfId="0" applyNumberFormat="1" applyFont="1" applyBorder="1" applyAlignment="1">
      <alignment horizontal="center"/>
    </xf>
    <xf numFmtId="3" fontId="11" fillId="0" borderId="6" xfId="0" applyNumberFormat="1" applyFont="1" applyBorder="1" applyAlignment="1">
      <alignment horizontal="center"/>
    </xf>
    <xf numFmtId="171" fontId="11" fillId="0" borderId="6" xfId="9" applyNumberFormat="1" applyFont="1" applyBorder="1" applyAlignment="1">
      <alignment horizontal="center"/>
    </xf>
    <xf numFmtId="6" fontId="11" fillId="0" borderId="6" xfId="9" applyNumberFormat="1" applyFont="1" applyFill="1" applyBorder="1" applyAlignment="1">
      <alignment horizontal="center"/>
    </xf>
    <xf numFmtId="8" fontId="11" fillId="0" borderId="6" xfId="0" applyNumberFormat="1" applyFont="1" applyBorder="1"/>
    <xf numFmtId="0" fontId="42" fillId="0" borderId="3" xfId="60" applyFont="1" applyBorder="1" applyAlignment="1">
      <alignment horizontal="center" vertical="center" wrapText="1"/>
    </xf>
    <xf numFmtId="1" fontId="19" fillId="0" borderId="0" xfId="1" applyNumberFormat="1" applyFont="1" applyAlignment="1">
      <alignment horizontal="left"/>
    </xf>
    <xf numFmtId="44" fontId="11" fillId="0" borderId="0" xfId="0" applyNumberFormat="1" applyFont="1" applyFill="1"/>
    <xf numFmtId="44" fontId="11" fillId="0" borderId="0" xfId="0" applyNumberFormat="1" applyFont="1"/>
    <xf numFmtId="6" fontId="46" fillId="0" borderId="0" xfId="9" applyNumberFormat="1" applyFont="1" applyAlignment="1">
      <alignment horizontal="center"/>
    </xf>
    <xf numFmtId="6" fontId="28" fillId="0" borderId="0" xfId="0" applyNumberFormat="1" applyFont="1" applyFill="1" applyBorder="1"/>
    <xf numFmtId="6" fontId="13" fillId="0" borderId="0" xfId="9" applyNumberFormat="1" applyFont="1" applyFill="1" applyBorder="1"/>
    <xf numFmtId="6" fontId="17" fillId="0" borderId="0" xfId="0" applyNumberFormat="1" applyFont="1" applyFill="1" applyBorder="1"/>
    <xf numFmtId="6" fontId="11" fillId="0" borderId="0" xfId="9" applyNumberFormat="1" applyFont="1" applyFill="1" applyBorder="1"/>
    <xf numFmtId="171" fontId="0" fillId="0" borderId="8" xfId="0" applyNumberFormat="1" applyBorder="1" applyAlignment="1">
      <alignment horizontal="center"/>
    </xf>
    <xf numFmtId="171" fontId="0" fillId="0" borderId="9" xfId="0" applyNumberFormat="1" applyBorder="1" applyAlignment="1">
      <alignment horizontal="center"/>
    </xf>
    <xf numFmtId="171" fontId="47" fillId="0" borderId="0" xfId="0" applyNumberFormat="1" applyFont="1" applyFill="1" applyBorder="1" applyAlignment="1">
      <alignment horizontal="center"/>
    </xf>
    <xf numFmtId="0" fontId="0" fillId="0" borderId="0" xfId="0" applyAlignment="1">
      <alignment horizontal="center" vertical="center"/>
    </xf>
    <xf numFmtId="10" fontId="11" fillId="0" borderId="0" xfId="0" applyNumberFormat="1" applyFont="1" applyFill="1" applyBorder="1" applyAlignment="1">
      <alignment horizontal="center" vertical="center"/>
    </xf>
    <xf numFmtId="0" fontId="19" fillId="0" borderId="0" xfId="0" applyFont="1" applyFill="1" applyAlignment="1">
      <alignment horizontal="center" vertical="center"/>
    </xf>
    <xf numFmtId="0" fontId="15" fillId="0" borderId="0" xfId="0" applyFont="1" applyFill="1" applyAlignment="1">
      <alignment horizontal="center" vertical="center"/>
    </xf>
    <xf numFmtId="168" fontId="0" fillId="0" borderId="0" xfId="0" applyNumberFormat="1" applyAlignment="1">
      <alignment horizontal="center" vertical="center"/>
    </xf>
    <xf numFmtId="176" fontId="0" fillId="0" borderId="0" xfId="0" applyNumberFormat="1"/>
    <xf numFmtId="168" fontId="9" fillId="0" borderId="0" xfId="0" applyNumberFormat="1" applyFont="1" applyBorder="1"/>
    <xf numFmtId="165" fontId="9" fillId="0" borderId="0" xfId="0" applyNumberFormat="1" applyFont="1" applyFill="1" applyBorder="1"/>
    <xf numFmtId="0" fontId="9" fillId="0" borderId="0" xfId="0" applyFont="1" applyFill="1" applyBorder="1" applyAlignment="1">
      <alignment horizontal="center"/>
    </xf>
    <xf numFmtId="0" fontId="11" fillId="0" borderId="0" xfId="0" applyFont="1" applyFill="1" applyAlignment="1">
      <alignment horizontal="center"/>
    </xf>
    <xf numFmtId="0" fontId="11" fillId="0" borderId="0" xfId="0" applyFont="1" applyFill="1" applyBorder="1" applyAlignment="1">
      <alignment horizontal="right"/>
    </xf>
    <xf numFmtId="0" fontId="9" fillId="0" borderId="0" xfId="0" applyFont="1" applyFill="1" applyBorder="1" applyAlignment="1">
      <alignment horizontal="left"/>
    </xf>
    <xf numFmtId="177" fontId="17" fillId="0" borderId="0" xfId="1" applyNumberFormat="1" applyFont="1"/>
    <xf numFmtId="177" fontId="17" fillId="0" borderId="0" xfId="1" applyNumberFormat="1" applyFont="1" applyAlignment="1">
      <alignment horizontal="center"/>
    </xf>
    <xf numFmtId="177" fontId="17" fillId="0" borderId="2" xfId="1" applyNumberFormat="1" applyFont="1" applyBorder="1"/>
    <xf numFmtId="6" fontId="0" fillId="0" borderId="0" xfId="0" applyNumberFormat="1" applyFill="1"/>
    <xf numFmtId="171" fontId="9" fillId="0" borderId="0" xfId="9" applyNumberFormat="1" applyFont="1"/>
    <xf numFmtId="9" fontId="0" fillId="0" borderId="0" xfId="37" applyFont="1"/>
    <xf numFmtId="0" fontId="9" fillId="0" borderId="2" xfId="0" applyFont="1" applyBorder="1" applyAlignment="1">
      <alignment horizontal="center"/>
    </xf>
    <xf numFmtId="1" fontId="9" fillId="0" borderId="2" xfId="1" applyNumberFormat="1" applyFont="1" applyBorder="1" applyAlignment="1">
      <alignment horizontal="center"/>
    </xf>
    <xf numFmtId="167" fontId="17" fillId="0" borderId="2" xfId="1" applyNumberFormat="1" applyFont="1" applyBorder="1" applyAlignment="1">
      <alignment horizontal="center"/>
    </xf>
    <xf numFmtId="168" fontId="17" fillId="0" borderId="2" xfId="0" applyNumberFormat="1" applyFont="1" applyBorder="1"/>
    <xf numFmtId="6" fontId="17" fillId="0" borderId="2" xfId="0" applyNumberFormat="1" applyFont="1" applyBorder="1"/>
    <xf numFmtId="6" fontId="13" fillId="0" borderId="2" xfId="9" applyNumberFormat="1" applyFont="1" applyBorder="1"/>
    <xf numFmtId="6" fontId="17" fillId="0" borderId="2" xfId="9" applyNumberFormat="1" applyFont="1" applyFill="1" applyBorder="1"/>
    <xf numFmtId="6" fontId="17" fillId="0" borderId="2" xfId="9" applyNumberFormat="1" applyFont="1" applyBorder="1"/>
    <xf numFmtId="8" fontId="17" fillId="0" borderId="2" xfId="9" applyNumberFormat="1" applyFont="1" applyFill="1" applyBorder="1"/>
    <xf numFmtId="171" fontId="48" fillId="0" borderId="0" xfId="9" applyNumberFormat="1" applyFont="1"/>
    <xf numFmtId="171" fontId="15" fillId="0" borderId="0" xfId="9" applyNumberFormat="1" applyFont="1"/>
    <xf numFmtId="6" fontId="15" fillId="0" borderId="0" xfId="9" applyNumberFormat="1" applyFont="1"/>
    <xf numFmtId="6" fontId="15" fillId="0" borderId="0" xfId="0" applyNumberFormat="1" applyFont="1"/>
    <xf numFmtId="6" fontId="15" fillId="0" borderId="0" xfId="9" applyNumberFormat="1" applyFont="1" applyFill="1"/>
    <xf numFmtId="0" fontId="11" fillId="3" borderId="3" xfId="0" applyFont="1" applyFill="1" applyBorder="1"/>
    <xf numFmtId="0" fontId="11" fillId="3" borderId="3" xfId="0" applyFont="1" applyFill="1" applyBorder="1" applyAlignment="1">
      <alignment horizontal="center"/>
    </xf>
    <xf numFmtId="0" fontId="11" fillId="3" borderId="3" xfId="0" applyFont="1" applyFill="1" applyBorder="1" applyAlignment="1">
      <alignment horizontal="right"/>
    </xf>
    <xf numFmtId="44" fontId="9" fillId="0" borderId="3" xfId="0" applyNumberFormat="1" applyFont="1" applyFill="1" applyBorder="1"/>
    <xf numFmtId="0" fontId="1" fillId="0" borderId="0" xfId="55" applyFont="1"/>
    <xf numFmtId="172" fontId="0" fillId="0" borderId="3" xfId="56" applyNumberFormat="1" applyFont="1" applyFill="1" applyBorder="1" applyAlignment="1">
      <alignment horizontal="center"/>
    </xf>
    <xf numFmtId="0" fontId="1" fillId="0" borderId="3" xfId="55" applyFont="1" applyBorder="1" applyAlignment="1">
      <alignment horizontal="center"/>
    </xf>
    <xf numFmtId="175" fontId="6" fillId="3" borderId="0" xfId="55" applyNumberFormat="1" applyFill="1" applyBorder="1" applyAlignment="1">
      <alignment horizontal="center"/>
    </xf>
    <xf numFmtId="172" fontId="0" fillId="3" borderId="0" xfId="56" applyNumberFormat="1" applyFont="1" applyFill="1" applyBorder="1" applyAlignment="1">
      <alignment horizontal="center"/>
    </xf>
    <xf numFmtId="0" fontId="1" fillId="3" borderId="10" xfId="55" applyFont="1" applyFill="1" applyBorder="1" applyAlignment="1">
      <alignment horizontal="center"/>
    </xf>
    <xf numFmtId="172" fontId="11" fillId="0" borderId="0" xfId="0" applyNumberFormat="1" applyFont="1" applyFill="1" applyBorder="1" applyAlignment="1">
      <alignment horizontal="center"/>
    </xf>
    <xf numFmtId="172" fontId="19" fillId="0" borderId="0" xfId="0" applyNumberFormat="1" applyFont="1" applyFill="1" applyBorder="1" applyAlignment="1">
      <alignment horizontal="left"/>
    </xf>
    <xf numFmtId="172" fontId="12" fillId="0" borderId="0" xfId="0" applyNumberFormat="1" applyFont="1" applyFill="1" applyBorder="1" applyAlignment="1">
      <alignment horizontal="left"/>
    </xf>
    <xf numFmtId="172" fontId="11" fillId="0" borderId="0" xfId="0" applyNumberFormat="1" applyFont="1" applyBorder="1" applyAlignment="1">
      <alignment horizontal="center"/>
    </xf>
    <xf numFmtId="172" fontId="11" fillId="0" borderId="6" xfId="0" applyNumberFormat="1" applyFont="1" applyBorder="1" applyAlignment="1">
      <alignment horizontal="center"/>
    </xf>
    <xf numFmtId="172" fontId="11" fillId="0" borderId="0" xfId="0" applyNumberFormat="1" applyFont="1" applyBorder="1"/>
    <xf numFmtId="172" fontId="11" fillId="0" borderId="0" xfId="0" applyNumberFormat="1" applyFont="1" applyFill="1"/>
    <xf numFmtId="172" fontId="11" fillId="0" borderId="0" xfId="0" applyNumberFormat="1" applyFont="1" applyFill="1" applyBorder="1"/>
    <xf numFmtId="172" fontId="11" fillId="0" borderId="0" xfId="0" applyNumberFormat="1" applyFont="1"/>
    <xf numFmtId="172" fontId="0" fillId="0" borderId="0" xfId="0" applyNumberFormat="1"/>
    <xf numFmtId="172" fontId="20" fillId="0" borderId="0" xfId="37" applyNumberFormat="1" applyFont="1" applyAlignment="1">
      <alignment horizontal="center"/>
    </xf>
    <xf numFmtId="172" fontId="15" fillId="0" borderId="0" xfId="37" applyNumberFormat="1" applyFont="1" applyAlignment="1">
      <alignment horizontal="center"/>
    </xf>
    <xf numFmtId="172" fontId="11" fillId="0" borderId="0" xfId="37" applyNumberFormat="1" applyFont="1" applyBorder="1" applyAlignment="1">
      <alignment horizontal="center"/>
    </xf>
    <xf numFmtId="172" fontId="11" fillId="0" borderId="6" xfId="37" applyNumberFormat="1" applyFont="1" applyBorder="1" applyAlignment="1">
      <alignment horizontal="center"/>
    </xf>
    <xf numFmtId="172" fontId="27" fillId="0" borderId="0" xfId="37" applyNumberFormat="1" applyFont="1" applyFill="1" applyBorder="1" applyAlignment="1">
      <alignment horizontal="center"/>
    </xf>
    <xf numFmtId="172" fontId="11" fillId="0" borderId="0" xfId="37" applyNumberFormat="1" applyFont="1" applyFill="1" applyAlignment="1">
      <alignment horizontal="center"/>
    </xf>
    <xf numFmtId="172" fontId="11" fillId="0" borderId="0" xfId="37" applyNumberFormat="1" applyFont="1" applyFill="1" applyBorder="1" applyAlignment="1">
      <alignment horizontal="center"/>
    </xf>
    <xf numFmtId="172" fontId="11" fillId="0" borderId="0" xfId="37" applyNumberFormat="1" applyFont="1" applyAlignment="1">
      <alignment horizontal="center"/>
    </xf>
    <xf numFmtId="172" fontId="0" fillId="0" borderId="0" xfId="37" applyNumberFormat="1" applyFont="1" applyAlignment="1">
      <alignment horizontal="center"/>
    </xf>
    <xf numFmtId="172" fontId="39" fillId="0" borderId="0" xfId="37" applyNumberFormat="1" applyFont="1" applyAlignment="1">
      <alignment horizontal="center"/>
    </xf>
    <xf numFmtId="172" fontId="40" fillId="0" borderId="0" xfId="37" applyNumberFormat="1" applyFont="1" applyAlignment="1">
      <alignment horizontal="center"/>
    </xf>
    <xf numFmtId="172" fontId="31" fillId="0" borderId="0" xfId="37" applyNumberFormat="1" applyFont="1" applyBorder="1" applyAlignment="1">
      <alignment horizontal="center"/>
    </xf>
    <xf numFmtId="172" fontId="31" fillId="0" borderId="6" xfId="37" applyNumberFormat="1" applyFont="1" applyBorder="1" applyAlignment="1">
      <alignment horizontal="center"/>
    </xf>
    <xf numFmtId="172" fontId="31" fillId="0" borderId="0" xfId="37" applyNumberFormat="1" applyFont="1" applyFill="1" applyBorder="1" applyAlignment="1">
      <alignment horizontal="center"/>
    </xf>
    <xf numFmtId="172" fontId="31" fillId="0" borderId="0" xfId="37" applyNumberFormat="1" applyFont="1" applyFill="1" applyAlignment="1">
      <alignment horizontal="center"/>
    </xf>
    <xf numFmtId="172" fontId="31" fillId="0" borderId="0" xfId="37" applyNumberFormat="1" applyFont="1" applyAlignment="1">
      <alignment horizontal="center"/>
    </xf>
    <xf numFmtId="172" fontId="0" fillId="0" borderId="0" xfId="37" applyNumberFormat="1" applyFont="1" applyBorder="1" applyAlignment="1">
      <alignment horizontal="center"/>
    </xf>
    <xf numFmtId="172" fontId="0" fillId="0" borderId="0" xfId="0" applyNumberFormat="1" applyBorder="1" applyAlignment="1">
      <alignment horizontal="center"/>
    </xf>
    <xf numFmtId="10" fontId="0" fillId="0" borderId="0" xfId="37" applyNumberFormat="1" applyFont="1" applyFill="1"/>
    <xf numFmtId="0" fontId="42" fillId="0" borderId="7" xfId="60" applyFont="1" applyBorder="1" applyAlignment="1">
      <alignment horizontal="center" vertical="center" wrapText="1"/>
    </xf>
    <xf numFmtId="44" fontId="0" fillId="0" borderId="0" xfId="0" applyNumberFormat="1" applyFill="1"/>
    <xf numFmtId="165" fontId="0" fillId="0" borderId="0" xfId="0" applyNumberFormat="1" applyFill="1"/>
    <xf numFmtId="0" fontId="45" fillId="0" borderId="0" xfId="0" applyFont="1" applyBorder="1" applyAlignment="1">
      <alignment vertical="center"/>
    </xf>
    <xf numFmtId="0" fontId="45" fillId="0" borderId="0" xfId="0" applyFont="1" applyBorder="1" applyAlignment="1">
      <alignment horizontal="center" vertical="center"/>
    </xf>
    <xf numFmtId="179" fontId="45" fillId="0" borderId="0" xfId="0" applyNumberFormat="1" applyFont="1" applyBorder="1" applyAlignment="1">
      <alignment horizontal="center" vertical="center"/>
    </xf>
    <xf numFmtId="0" fontId="36" fillId="0" borderId="0" xfId="0" applyFont="1" applyFill="1" applyBorder="1" applyAlignment="1">
      <alignment vertical="center"/>
    </xf>
    <xf numFmtId="167" fontId="45" fillId="0" borderId="0" xfId="0" applyNumberFormat="1" applyFont="1" applyBorder="1" applyAlignment="1">
      <alignment horizontal="center" vertical="center"/>
    </xf>
    <xf numFmtId="0" fontId="45" fillId="0" borderId="0" xfId="0" applyFont="1" applyBorder="1" applyAlignment="1">
      <alignment horizontal="left" vertical="center"/>
    </xf>
    <xf numFmtId="43" fontId="35" fillId="0" borderId="0" xfId="49" applyNumberFormat="1" applyFont="1" applyFill="1" applyBorder="1" applyAlignment="1">
      <alignment horizontal="center" vertical="center"/>
    </xf>
    <xf numFmtId="0" fontId="35" fillId="0" borderId="0" xfId="49" applyFont="1" applyFill="1" applyBorder="1" applyAlignment="1">
      <alignment horizontal="center" vertical="center"/>
    </xf>
    <xf numFmtId="0" fontId="42" fillId="0" borderId="0" xfId="49" applyFont="1" applyFill="1" applyBorder="1" applyAlignment="1">
      <alignment vertical="center"/>
    </xf>
    <xf numFmtId="0" fontId="15" fillId="0" borderId="0" xfId="0" applyFont="1" applyFill="1" applyBorder="1" applyAlignment="1">
      <alignment vertical="center"/>
    </xf>
    <xf numFmtId="173" fontId="42" fillId="0" borderId="0" xfId="49" applyNumberFormat="1" applyFont="1" applyFill="1" applyBorder="1" applyAlignment="1">
      <alignment vertical="center"/>
    </xf>
    <xf numFmtId="43" fontId="15" fillId="0" borderId="0" xfId="0" applyNumberFormat="1" applyFont="1" applyFill="1" applyBorder="1" applyAlignment="1">
      <alignment vertical="center"/>
    </xf>
    <xf numFmtId="43" fontId="42" fillId="0" borderId="0" xfId="50" applyFont="1" applyFill="1" applyBorder="1" applyAlignment="1">
      <alignment vertical="center"/>
    </xf>
    <xf numFmtId="0" fontId="15" fillId="0" borderId="0" xfId="0" applyFont="1" applyFill="1" applyBorder="1" applyAlignment="1">
      <alignment horizontal="center" vertical="center"/>
    </xf>
    <xf numFmtId="168" fontId="42" fillId="0" borderId="0" xfId="49" applyNumberFormat="1" applyFont="1" applyFill="1" applyBorder="1" applyAlignment="1">
      <alignment horizontal="center" vertical="center"/>
    </xf>
    <xf numFmtId="44" fontId="42" fillId="0" borderId="0" xfId="51" applyFont="1" applyFill="1" applyBorder="1" applyAlignment="1">
      <alignment vertical="center"/>
    </xf>
    <xf numFmtId="3" fontId="45" fillId="0" borderId="0" xfId="0" applyNumberFormat="1" applyFont="1" applyBorder="1" applyAlignment="1">
      <alignment horizontal="center" vertical="center"/>
    </xf>
    <xf numFmtId="0" fontId="36" fillId="0" borderId="0" xfId="0" applyFont="1" applyBorder="1" applyAlignment="1">
      <alignment vertical="center"/>
    </xf>
    <xf numFmtId="172" fontId="45" fillId="0" borderId="0" xfId="37" applyNumberFormat="1" applyFont="1" applyBorder="1" applyAlignment="1">
      <alignment horizontal="center" vertical="center"/>
    </xf>
    <xf numFmtId="0" fontId="36" fillId="0" borderId="0" xfId="0" applyFont="1" applyBorder="1" applyAlignment="1">
      <alignment horizontal="center" vertical="center"/>
    </xf>
    <xf numFmtId="0" fontId="35" fillId="0" borderId="0" xfId="49" applyFont="1" applyFill="1" applyBorder="1" applyAlignment="1">
      <alignment vertical="center"/>
    </xf>
    <xf numFmtId="173" fontId="37" fillId="0" borderId="0" xfId="49" applyNumberFormat="1" applyFont="1" applyFill="1" applyBorder="1" applyAlignment="1">
      <alignment vertical="center"/>
    </xf>
    <xf numFmtId="43" fontId="37" fillId="0" borderId="0" xfId="50" applyFont="1" applyFill="1" applyBorder="1" applyAlignment="1">
      <alignment vertical="center"/>
    </xf>
    <xf numFmtId="0" fontId="36" fillId="0" borderId="0" xfId="0" applyFont="1" applyFill="1" applyBorder="1" applyAlignment="1">
      <alignment horizontal="center" vertical="center"/>
    </xf>
    <xf numFmtId="3" fontId="45" fillId="0" borderId="2" xfId="0" applyNumberFormat="1" applyFont="1" applyBorder="1" applyAlignment="1">
      <alignment horizontal="center" vertical="center"/>
    </xf>
    <xf numFmtId="0" fontId="44" fillId="0" borderId="0" xfId="0" applyFont="1" applyBorder="1" applyAlignment="1">
      <alignment vertical="center"/>
    </xf>
    <xf numFmtId="3" fontId="44" fillId="0" borderId="0" xfId="0" applyNumberFormat="1" applyFont="1" applyBorder="1" applyAlignment="1">
      <alignment horizontal="center" vertical="center"/>
    </xf>
    <xf numFmtId="10" fontId="45" fillId="0" borderId="0" xfId="37" applyNumberFormat="1" applyFont="1" applyBorder="1" applyAlignment="1">
      <alignment horizontal="center" vertical="center"/>
    </xf>
    <xf numFmtId="0" fontId="52" fillId="0" borderId="0" xfId="0" applyFont="1" applyBorder="1" applyAlignment="1">
      <alignment horizontal="center" vertical="center"/>
    </xf>
    <xf numFmtId="10" fontId="44" fillId="0" borderId="0" xfId="37" applyNumberFormat="1" applyFont="1" applyBorder="1" applyAlignment="1">
      <alignment horizontal="center" vertical="center"/>
    </xf>
    <xf numFmtId="1" fontId="45" fillId="0" borderId="0" xfId="0" applyNumberFormat="1" applyFont="1" applyBorder="1" applyAlignment="1">
      <alignment horizontal="center" vertical="center"/>
    </xf>
    <xf numFmtId="0" fontId="50" fillId="0" borderId="0" xfId="0" applyFont="1" applyBorder="1" applyAlignment="1">
      <alignment horizontal="center" vertical="center"/>
    </xf>
    <xf numFmtId="167" fontId="36" fillId="0" borderId="0" xfId="0" applyNumberFormat="1" applyFont="1" applyBorder="1" applyAlignment="1">
      <alignment vertical="center"/>
    </xf>
    <xf numFmtId="0" fontId="42" fillId="0" borderId="0" xfId="49" applyFont="1" applyFill="1" applyBorder="1" applyAlignment="1">
      <alignment horizontal="center" vertical="center"/>
    </xf>
    <xf numFmtId="0" fontId="42" fillId="0" borderId="0" xfId="49" applyFont="1" applyFill="1" applyBorder="1" applyAlignment="1">
      <alignment horizontal="left" vertical="center"/>
    </xf>
    <xf numFmtId="0" fontId="15" fillId="0" borderId="0" xfId="0" applyFont="1" applyFill="1" applyBorder="1" applyAlignment="1">
      <alignment vertical="center" wrapText="1"/>
    </xf>
    <xf numFmtId="0" fontId="42" fillId="0" borderId="0" xfId="49" applyFont="1" applyFill="1" applyBorder="1" applyAlignment="1">
      <alignment vertical="center" wrapText="1"/>
    </xf>
    <xf numFmtId="173" fontId="42" fillId="0" borderId="0" xfId="49" applyNumberFormat="1" applyFont="1" applyFill="1" applyBorder="1" applyAlignment="1">
      <alignment vertical="center" wrapText="1"/>
    </xf>
    <xf numFmtId="178" fontId="15" fillId="0" borderId="0" xfId="0" applyNumberFormat="1" applyFont="1" applyFill="1" applyBorder="1" applyAlignment="1">
      <alignment vertical="center" wrapText="1"/>
    </xf>
    <xf numFmtId="43" fontId="42" fillId="0" borderId="0" xfId="50" applyFont="1" applyFill="1" applyBorder="1" applyAlignment="1">
      <alignment vertical="center" wrapText="1"/>
    </xf>
    <xf numFmtId="0" fontId="15" fillId="0" borderId="0" xfId="0" applyFont="1" applyFill="1" applyBorder="1" applyAlignment="1">
      <alignment horizontal="center" vertical="center" wrapText="1"/>
    </xf>
    <xf numFmtId="168" fontId="42" fillId="0" borderId="0" xfId="49" applyNumberFormat="1" applyFont="1" applyFill="1" applyBorder="1" applyAlignment="1">
      <alignment horizontal="center" vertical="center" wrapText="1"/>
    </xf>
    <xf numFmtId="44" fontId="42" fillId="0" borderId="0" xfId="51" applyFont="1" applyFill="1" applyBorder="1" applyAlignment="1">
      <alignment vertical="center" wrapText="1"/>
    </xf>
    <xf numFmtId="179" fontId="42" fillId="0" borderId="3" xfId="60" applyNumberFormat="1" applyFont="1" applyBorder="1" applyAlignment="1">
      <alignment horizontal="center" vertical="center"/>
    </xf>
    <xf numFmtId="1" fontId="42" fillId="0" borderId="3" xfId="60" applyNumberFormat="1" applyFont="1" applyBorder="1" applyAlignment="1">
      <alignment horizontal="center" vertical="center"/>
    </xf>
    <xf numFmtId="3" fontId="42" fillId="0" borderId="3" xfId="60" applyNumberFormat="1" applyFont="1" applyBorder="1" applyAlignment="1">
      <alignment horizontal="center" vertical="center"/>
    </xf>
    <xf numFmtId="178" fontId="15" fillId="0" borderId="0" xfId="0" applyNumberFormat="1" applyFont="1" applyFill="1" applyBorder="1" applyAlignment="1">
      <alignment vertical="center"/>
    </xf>
    <xf numFmtId="3" fontId="42" fillId="0" borderId="10" xfId="60" applyNumberFormat="1" applyFont="1" applyBorder="1" applyAlignment="1">
      <alignment horizontal="center" vertical="center"/>
    </xf>
    <xf numFmtId="179" fontId="42" fillId="0" borderId="12" xfId="60" applyNumberFormat="1" applyFont="1" applyBorder="1" applyAlignment="1">
      <alignment horizontal="center" vertical="center"/>
    </xf>
    <xf numFmtId="1" fontId="42" fillId="0" borderId="12" xfId="60" applyNumberFormat="1" applyFont="1" applyBorder="1" applyAlignment="1">
      <alignment horizontal="center" vertical="center"/>
    </xf>
    <xf numFmtId="3" fontId="42" fillId="0" borderId="11" xfId="60" applyNumberFormat="1" applyFont="1" applyBorder="1" applyAlignment="1">
      <alignment horizontal="center" vertical="center"/>
    </xf>
    <xf numFmtId="3" fontId="42" fillId="0" borderId="12" xfId="60" applyNumberFormat="1" applyFont="1" applyBorder="1" applyAlignment="1">
      <alignment horizontal="center" vertical="center"/>
    </xf>
    <xf numFmtId="176" fontId="43" fillId="0" borderId="0" xfId="50" applyNumberFormat="1" applyFont="1" applyFill="1" applyBorder="1" applyAlignment="1">
      <alignment horizontal="center" vertical="center"/>
    </xf>
    <xf numFmtId="37" fontId="44" fillId="0" borderId="0" xfId="1" applyNumberFormat="1" applyFont="1" applyFill="1" applyBorder="1" applyAlignment="1">
      <alignment horizontal="center" vertical="center"/>
    </xf>
    <xf numFmtId="177" fontId="42" fillId="0" borderId="0" xfId="49" applyNumberFormat="1" applyFont="1" applyFill="1" applyBorder="1" applyAlignment="1">
      <alignment horizontal="center" vertical="center"/>
    </xf>
    <xf numFmtId="0" fontId="44" fillId="0" borderId="0" xfId="0" applyFont="1" applyFill="1" applyBorder="1" applyAlignment="1">
      <alignment horizontal="center" vertical="center"/>
    </xf>
    <xf numFmtId="0" fontId="43" fillId="0" borderId="0" xfId="49" applyFont="1" applyFill="1" applyBorder="1" applyAlignment="1">
      <alignment horizontal="center" vertical="center"/>
    </xf>
    <xf numFmtId="177" fontId="43" fillId="0" borderId="0" xfId="49" applyNumberFormat="1" applyFont="1" applyFill="1" applyBorder="1" applyAlignment="1">
      <alignment horizontal="center" vertical="center"/>
    </xf>
    <xf numFmtId="168" fontId="12" fillId="0" borderId="2" xfId="0" applyNumberFormat="1" applyFont="1" applyBorder="1" applyAlignment="1">
      <alignment vertical="center"/>
    </xf>
    <xf numFmtId="0" fontId="49" fillId="0" borderId="0" xfId="0" applyFont="1" applyAlignment="1">
      <alignment horizontal="left" vertical="center" wrapText="1"/>
    </xf>
    <xf numFmtId="0" fontId="11" fillId="0" borderId="2" xfId="0" applyFont="1" applyBorder="1" applyAlignment="1">
      <alignment vertical="center"/>
    </xf>
    <xf numFmtId="43" fontId="43" fillId="0" borderId="2" xfId="49" applyNumberFormat="1" applyFont="1" applyFill="1" applyBorder="1" applyAlignment="1">
      <alignment horizontal="center" vertical="center"/>
    </xf>
    <xf numFmtId="0" fontId="15" fillId="0" borderId="2" xfId="0" applyFont="1" applyFill="1" applyBorder="1" applyAlignment="1">
      <alignment vertical="center"/>
    </xf>
    <xf numFmtId="0" fontId="44" fillId="0" borderId="6" xfId="0" applyFont="1" applyBorder="1" applyAlignment="1">
      <alignment horizontal="center" vertical="center"/>
    </xf>
    <xf numFmtId="2" fontId="45" fillId="0" borderId="0" xfId="0" applyNumberFormat="1" applyFont="1" applyBorder="1" applyAlignment="1">
      <alignment horizontal="center" vertical="center"/>
    </xf>
    <xf numFmtId="43" fontId="43" fillId="0" borderId="0" xfId="49" applyNumberFormat="1" applyFont="1" applyFill="1" applyBorder="1" applyAlignment="1">
      <alignment horizontal="center" vertical="center"/>
    </xf>
    <xf numFmtId="0" fontId="11" fillId="0" borderId="0" xfId="0" applyFont="1" applyBorder="1" applyAlignment="1">
      <alignment vertical="center"/>
    </xf>
    <xf numFmtId="179" fontId="42" fillId="0" borderId="0" xfId="60" applyNumberFormat="1" applyFont="1" applyBorder="1" applyAlignment="1">
      <alignment horizontal="center" vertical="center"/>
    </xf>
    <xf numFmtId="9" fontId="45" fillId="0" borderId="0" xfId="37" applyFont="1" applyBorder="1" applyAlignment="1">
      <alignment horizontal="center" vertical="center"/>
    </xf>
    <xf numFmtId="0" fontId="15" fillId="0" borderId="0" xfId="0" applyFont="1" applyFill="1" applyBorder="1" applyAlignment="1">
      <alignment horizontal="left" vertical="center"/>
    </xf>
    <xf numFmtId="43" fontId="43" fillId="0" borderId="0" xfId="50" applyFont="1" applyFill="1" applyBorder="1" applyAlignment="1">
      <alignment horizontal="left" vertical="center"/>
    </xf>
    <xf numFmtId="0" fontId="0" fillId="0" borderId="0" xfId="0" applyBorder="1" applyAlignment="1">
      <alignment horizontal="right" vertical="center"/>
    </xf>
    <xf numFmtId="10" fontId="44" fillId="0" borderId="0" xfId="37" applyNumberFormat="1" applyFont="1" applyFill="1" applyBorder="1" applyAlignment="1">
      <alignment horizontal="center" vertical="center"/>
    </xf>
    <xf numFmtId="170" fontId="31" fillId="0" borderId="0" xfId="37" applyNumberFormat="1" applyFont="1" applyAlignment="1">
      <alignment horizontal="center" vertical="center"/>
    </xf>
    <xf numFmtId="170" fontId="45" fillId="0" borderId="0" xfId="37" applyNumberFormat="1" applyFont="1" applyBorder="1" applyAlignment="1">
      <alignment horizontal="center" vertical="center"/>
    </xf>
    <xf numFmtId="0" fontId="42" fillId="0" borderId="0" xfId="60" applyFont="1" applyBorder="1" applyAlignment="1">
      <alignment horizontal="center" vertical="center" wrapText="1"/>
    </xf>
    <xf numFmtId="3" fontId="42" fillId="0" borderId="0" xfId="61" applyNumberFormat="1" applyFont="1" applyBorder="1" applyAlignment="1">
      <alignment horizontal="center" vertical="center"/>
    </xf>
    <xf numFmtId="0" fontId="16" fillId="0" borderId="0" xfId="0" applyFont="1" applyBorder="1" applyAlignment="1"/>
    <xf numFmtId="0" fontId="10" fillId="0" borderId="0" xfId="0" applyFont="1" applyBorder="1" applyAlignment="1"/>
    <xf numFmtId="0" fontId="19" fillId="0" borderId="0" xfId="0" applyFont="1" applyBorder="1" applyAlignment="1"/>
    <xf numFmtId="0" fontId="10" fillId="0" borderId="0" xfId="0" applyFont="1" applyFill="1" applyBorder="1" applyAlignment="1">
      <alignment horizontal="left" vertical="top" wrapText="1"/>
    </xf>
    <xf numFmtId="0" fontId="0" fillId="0" borderId="0" xfId="0" applyAlignment="1">
      <alignment horizontal="left" vertical="top" wrapText="1"/>
    </xf>
    <xf numFmtId="0" fontId="14" fillId="0" borderId="0" xfId="0" applyFont="1" applyFill="1" applyAlignment="1">
      <alignment horizontal="left" wrapText="1"/>
    </xf>
    <xf numFmtId="0" fontId="0" fillId="0" borderId="0" xfId="0" applyFill="1" applyAlignment="1">
      <alignment horizontal="left" wrapText="1"/>
    </xf>
    <xf numFmtId="0" fontId="14" fillId="0" borderId="0" xfId="0" applyFont="1" applyAlignment="1">
      <alignment horizontal="left" wrapText="1"/>
    </xf>
    <xf numFmtId="0" fontId="0" fillId="0" borderId="0" xfId="0" applyAlignment="1">
      <alignment horizontal="left" wrapText="1"/>
    </xf>
    <xf numFmtId="0" fontId="14" fillId="0" borderId="0" xfId="0" applyFont="1" applyAlignment="1">
      <alignment wrapText="1"/>
    </xf>
    <xf numFmtId="0" fontId="0" fillId="0" borderId="0" xfId="0" applyAlignment="1">
      <alignment wrapText="1"/>
    </xf>
    <xf numFmtId="0" fontId="6" fillId="0" borderId="0" xfId="55" applyAlignment="1">
      <alignment horizontal="left" wrapText="1"/>
    </xf>
  </cellXfs>
  <cellStyles count="64">
    <cellStyle name="Comma" xfId="1" builtinId="3"/>
    <cellStyle name="Comma 11" xfId="61" xr:uid="{00000000-0005-0000-0000-000001000000}"/>
    <cellStyle name="Comma 2" xfId="2" xr:uid="{00000000-0005-0000-0000-000002000000}"/>
    <cellStyle name="Comma 2 2" xfId="3" xr:uid="{00000000-0005-0000-0000-000003000000}"/>
    <cellStyle name="Comma 2 3" xfId="4" xr:uid="{00000000-0005-0000-0000-000004000000}"/>
    <cellStyle name="Comma 3" xfId="5" xr:uid="{00000000-0005-0000-0000-000005000000}"/>
    <cellStyle name="Comma 3 2" xfId="6" xr:uid="{00000000-0005-0000-0000-000006000000}"/>
    <cellStyle name="Comma 3 3" xfId="7" xr:uid="{00000000-0005-0000-0000-000007000000}"/>
    <cellStyle name="Comma 4" xfId="50" xr:uid="{00000000-0005-0000-0000-000008000000}"/>
    <cellStyle name="Comma0" xfId="8" xr:uid="{00000000-0005-0000-0000-000009000000}"/>
    <cellStyle name="Currency" xfId="9" builtinId="4"/>
    <cellStyle name="Currency 2" xfId="10" xr:uid="{00000000-0005-0000-0000-00000B000000}"/>
    <cellStyle name="Currency 2 2" xfId="11" xr:uid="{00000000-0005-0000-0000-00000C000000}"/>
    <cellStyle name="Currency 2 2 2" xfId="12" xr:uid="{00000000-0005-0000-0000-00000D000000}"/>
    <cellStyle name="Currency 2 3" xfId="13" xr:uid="{00000000-0005-0000-0000-00000E000000}"/>
    <cellStyle name="Currency 2 4" xfId="14" xr:uid="{00000000-0005-0000-0000-00000F000000}"/>
    <cellStyle name="Currency 3" xfId="15" xr:uid="{00000000-0005-0000-0000-000010000000}"/>
    <cellStyle name="Currency 3 2" xfId="16" xr:uid="{00000000-0005-0000-0000-000011000000}"/>
    <cellStyle name="Currency 3 3" xfId="17" xr:uid="{00000000-0005-0000-0000-000012000000}"/>
    <cellStyle name="Currency 4" xfId="18" xr:uid="{00000000-0005-0000-0000-000013000000}"/>
    <cellStyle name="Currency 5" xfId="19" xr:uid="{00000000-0005-0000-0000-000014000000}"/>
    <cellStyle name="Currency 6" xfId="20" xr:uid="{00000000-0005-0000-0000-000015000000}"/>
    <cellStyle name="Currency 7" xfId="51" xr:uid="{00000000-0005-0000-0000-000016000000}"/>
    <cellStyle name="Currency 8" xfId="59" xr:uid="{00000000-0005-0000-0000-000017000000}"/>
    <cellStyle name="Currency0" xfId="21" xr:uid="{00000000-0005-0000-0000-000018000000}"/>
    <cellStyle name="Date" xfId="22" xr:uid="{00000000-0005-0000-0000-000019000000}"/>
    <cellStyle name="Fixed" xfId="23" xr:uid="{00000000-0005-0000-0000-00001A000000}"/>
    <cellStyle name="Hyperlink" xfId="24" builtinId="8"/>
    <cellStyle name="Hyperlink 2" xfId="57" xr:uid="{00000000-0005-0000-0000-00001C000000}"/>
    <cellStyle name="Normal" xfId="0" builtinId="0"/>
    <cellStyle name="Normal 10 5" xfId="62" xr:uid="{00000000-0005-0000-0000-00001E000000}"/>
    <cellStyle name="Normal 2" xfId="25" xr:uid="{00000000-0005-0000-0000-00001F000000}"/>
    <cellStyle name="Normal 2 2" xfId="26" xr:uid="{00000000-0005-0000-0000-000020000000}"/>
    <cellStyle name="Normal 2 2 2" xfId="27" xr:uid="{00000000-0005-0000-0000-000021000000}"/>
    <cellStyle name="Normal 2 3" xfId="28" xr:uid="{00000000-0005-0000-0000-000022000000}"/>
    <cellStyle name="Normal 2 4" xfId="29" xr:uid="{00000000-0005-0000-0000-000023000000}"/>
    <cellStyle name="Normal 23" xfId="63" xr:uid="{00000000-0005-0000-0000-000024000000}"/>
    <cellStyle name="Normal 24" xfId="60" xr:uid="{00000000-0005-0000-0000-000025000000}"/>
    <cellStyle name="Normal 3" xfId="30" xr:uid="{00000000-0005-0000-0000-000026000000}"/>
    <cellStyle name="Normal 3 2" xfId="31" xr:uid="{00000000-0005-0000-0000-000027000000}"/>
    <cellStyle name="Normal 3 3" xfId="32" xr:uid="{00000000-0005-0000-0000-000028000000}"/>
    <cellStyle name="Normal 4" xfId="33" xr:uid="{00000000-0005-0000-0000-000029000000}"/>
    <cellStyle name="Normal 4 2" xfId="34" xr:uid="{00000000-0005-0000-0000-00002A000000}"/>
    <cellStyle name="Normal 4 3" xfId="35" xr:uid="{00000000-0005-0000-0000-00002B000000}"/>
    <cellStyle name="Normal 5" xfId="36" xr:uid="{00000000-0005-0000-0000-00002C000000}"/>
    <cellStyle name="Normal 6" xfId="49" xr:uid="{00000000-0005-0000-0000-00002D000000}"/>
    <cellStyle name="Normal 7" xfId="53" xr:uid="{00000000-0005-0000-0000-00002E000000}"/>
    <cellStyle name="Normal 8" xfId="55" xr:uid="{00000000-0005-0000-0000-00002F000000}"/>
    <cellStyle name="Normal 9" xfId="58" xr:uid="{00000000-0005-0000-0000-000030000000}"/>
    <cellStyle name="Percent" xfId="37" builtinId="5"/>
    <cellStyle name="Percent 10" xfId="56" xr:uid="{00000000-0005-0000-0000-000032000000}"/>
    <cellStyle name="Percent 2" xfId="38" xr:uid="{00000000-0005-0000-0000-000033000000}"/>
    <cellStyle name="Percent 2 2" xfId="39" xr:uid="{00000000-0005-0000-0000-000034000000}"/>
    <cellStyle name="Percent 2 2 2" xfId="40" xr:uid="{00000000-0005-0000-0000-000035000000}"/>
    <cellStyle name="Percent 2 3" xfId="41" xr:uid="{00000000-0005-0000-0000-000036000000}"/>
    <cellStyle name="Percent 3" xfId="42" xr:uid="{00000000-0005-0000-0000-000037000000}"/>
    <cellStyle name="Percent 3 2" xfId="43" xr:uid="{00000000-0005-0000-0000-000038000000}"/>
    <cellStyle name="Percent 3 3" xfId="44" xr:uid="{00000000-0005-0000-0000-000039000000}"/>
    <cellStyle name="Percent 4" xfId="45" xr:uid="{00000000-0005-0000-0000-00003A000000}"/>
    <cellStyle name="Percent 5" xfId="46" xr:uid="{00000000-0005-0000-0000-00003B000000}"/>
    <cellStyle name="Percent 6" xfId="47" xr:uid="{00000000-0005-0000-0000-00003C000000}"/>
    <cellStyle name="Percent 7" xfId="48" xr:uid="{00000000-0005-0000-0000-00003D000000}"/>
    <cellStyle name="Percent 8" xfId="52" xr:uid="{00000000-0005-0000-0000-00003E000000}"/>
    <cellStyle name="Percent 9" xfId="54" xr:uid="{00000000-0005-0000-0000-00003F000000}"/>
  </cellStyles>
  <dxfs count="16">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numFmt numFmtId="34" formatCode="_(&quot;$&quot;* #,##0.00_);_(&quot;$&quot;* \(#,##0.00\);_(&quot;$&quot;* &quot;-&quot;??_);_(@_)"/>
    </dxf>
    <dxf>
      <font>
        <b val="0"/>
        <i val="0"/>
        <strike val="0"/>
        <condense val="0"/>
        <extend val="0"/>
        <outline val="0"/>
        <shadow val="0"/>
        <u val="none"/>
        <vertAlign val="baseline"/>
        <sz val="10"/>
        <color auto="1"/>
        <name val="Arial"/>
        <scheme val="none"/>
      </font>
    </dxf>
    <dxf>
      <numFmt numFmtId="0" formatCode="General"/>
    </dxf>
    <dxf>
      <numFmt numFmtId="0" formatCode="General"/>
    </dxf>
  </dxfs>
  <tableStyles count="0" defaultTableStyle="TableStyleMedium9" defaultPivotStyle="PivotStyleLight16"/>
  <colors>
    <mruColors>
      <color rgb="FFFA90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0</xdr:col>
      <xdr:colOff>603250</xdr:colOff>
      <xdr:row>50</xdr:row>
      <xdr:rowOff>12700</xdr:rowOff>
    </xdr:from>
    <xdr:ext cx="10790476" cy="9022183"/>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603250" y="9956800"/>
          <a:ext cx="10790476" cy="902218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0</xdr:colOff>
      <xdr:row>6</xdr:row>
      <xdr:rowOff>0</xdr:rowOff>
    </xdr:from>
    <xdr:ext cx="10733333" cy="8847581"/>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4876800" y="1104900"/>
          <a:ext cx="10733333" cy="884758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33618</xdr:colOff>
      <xdr:row>4</xdr:row>
      <xdr:rowOff>112059</xdr:rowOff>
    </xdr:from>
    <xdr:ext cx="12122894" cy="909316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6739218" y="848659"/>
          <a:ext cx="12122894" cy="9093160"/>
        </a:xfrm>
        <a:prstGeom prst="rect">
          <a:avLst/>
        </a:prstGeom>
      </xdr:spPr>
    </xdr:pic>
    <xdr:clientData/>
  </xdr:oneCellAnchor>
  <xdr:oneCellAnchor>
    <xdr:from>
      <xdr:col>11</xdr:col>
      <xdr:colOff>78442</xdr:colOff>
      <xdr:row>54</xdr:row>
      <xdr:rowOff>134472</xdr:rowOff>
    </xdr:from>
    <xdr:ext cx="11182091" cy="8159456"/>
    <xdr:pic>
      <xdr:nvPicPr>
        <xdr:cNvPr id="3" name="Picture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a:stretch>
          <a:fillRect/>
        </a:stretch>
      </xdr:blipFill>
      <xdr:spPr>
        <a:xfrm>
          <a:off x="6784042" y="9526122"/>
          <a:ext cx="11182091" cy="8159456"/>
        </a:xfrm>
        <a:prstGeom prst="rect">
          <a:avLst/>
        </a:prstGeom>
      </xdr:spPr>
    </xdr:pic>
    <xdr:clientData/>
  </xdr:oneCellAnchor>
  <xdr:oneCellAnchor>
    <xdr:from>
      <xdr:col>11</xdr:col>
      <xdr:colOff>280147</xdr:colOff>
      <xdr:row>99</xdr:row>
      <xdr:rowOff>179295</xdr:rowOff>
    </xdr:from>
    <xdr:ext cx="11191615" cy="7953668"/>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3"/>
        <a:stretch>
          <a:fillRect/>
        </a:stretch>
      </xdr:blipFill>
      <xdr:spPr>
        <a:xfrm>
          <a:off x="6985747" y="17857695"/>
          <a:ext cx="11191615" cy="795366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489857</xdr:colOff>
      <xdr:row>27</xdr:row>
      <xdr:rowOff>145596</xdr:rowOff>
    </xdr:from>
    <xdr:ext cx="10685719" cy="1853958"/>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5366657" y="5117646"/>
          <a:ext cx="10685719" cy="1853958"/>
        </a:xfrm>
        <a:prstGeom prst="rect">
          <a:avLst/>
        </a:prstGeom>
      </xdr:spPr>
    </xdr:pic>
    <xdr:clientData/>
  </xdr:oneCellAnchor>
  <xdr:oneCellAnchor>
    <xdr:from>
      <xdr:col>9</xdr:col>
      <xdr:colOff>30050</xdr:colOff>
      <xdr:row>39</xdr:row>
      <xdr:rowOff>79942</xdr:rowOff>
    </xdr:from>
    <xdr:ext cx="10759188" cy="2228559"/>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a:stretch>
          <a:fillRect/>
        </a:stretch>
      </xdr:blipFill>
      <xdr:spPr>
        <a:xfrm>
          <a:off x="6189550" y="7572942"/>
          <a:ext cx="10759188" cy="2228559"/>
        </a:xfrm>
        <a:prstGeom prst="rect">
          <a:avLst/>
        </a:prstGeom>
      </xdr:spPr>
    </xdr:pic>
    <xdr:clientData/>
  </xdr:oneCellAnchor>
  <xdr:oneCellAnchor>
    <xdr:from>
      <xdr:col>8</xdr:col>
      <xdr:colOff>600075</xdr:colOff>
      <xdr:row>2</xdr:row>
      <xdr:rowOff>28575</xdr:rowOff>
    </xdr:from>
    <xdr:ext cx="10952385" cy="4726959"/>
    <xdr:pic>
      <xdr:nvPicPr>
        <xdr:cNvPr id="4" name="Picture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3"/>
        <a:stretch>
          <a:fillRect/>
        </a:stretch>
      </xdr:blipFill>
      <xdr:spPr>
        <a:xfrm>
          <a:off x="5476875" y="396875"/>
          <a:ext cx="10952385" cy="4726959"/>
        </a:xfrm>
        <a:prstGeom prst="rect">
          <a:avLst/>
        </a:prstGeom>
      </xdr:spPr>
    </xdr:pic>
    <xdr:clientData/>
  </xdr:oneCellAnchor>
  <xdr:oneCellAnchor>
    <xdr:from>
      <xdr:col>7</xdr:col>
      <xdr:colOff>0</xdr:colOff>
      <xdr:row>55</xdr:row>
      <xdr:rowOff>0</xdr:rowOff>
    </xdr:from>
    <xdr:ext cx="12672559" cy="8945983"/>
    <xdr:pic>
      <xdr:nvPicPr>
        <xdr:cNvPr id="5" name="Picture 4">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4"/>
        <a:stretch>
          <a:fillRect/>
        </a:stretch>
      </xdr:blipFill>
      <xdr:spPr>
        <a:xfrm>
          <a:off x="4267200" y="10128250"/>
          <a:ext cx="12672559" cy="8945983"/>
        </a:xfrm>
        <a:prstGeom prst="rect">
          <a:avLst/>
        </a:prstGeom>
      </xdr:spPr>
    </xdr:pic>
    <xdr:clientData/>
  </xdr:oneCellAnchor>
  <xdr:oneCellAnchor>
    <xdr:from>
      <xdr:col>7</xdr:col>
      <xdr:colOff>476250</xdr:colOff>
      <xdr:row>104</xdr:row>
      <xdr:rowOff>68035</xdr:rowOff>
    </xdr:from>
    <xdr:ext cx="11882083" cy="8444399"/>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5"/>
        <a:stretch>
          <a:fillRect/>
        </a:stretch>
      </xdr:blipFill>
      <xdr:spPr>
        <a:xfrm>
          <a:off x="4743450" y="19219635"/>
          <a:ext cx="11882083" cy="8444399"/>
        </a:xfrm>
        <a:prstGeom prst="rect">
          <a:avLst/>
        </a:prstGeom>
      </xdr:spPr>
    </xdr:pic>
    <xdr:clientData/>
  </xdr:oneCellAnchor>
  <xdr:oneCellAnchor>
    <xdr:from>
      <xdr:col>7</xdr:col>
      <xdr:colOff>462643</xdr:colOff>
      <xdr:row>150</xdr:row>
      <xdr:rowOff>136071</xdr:rowOff>
    </xdr:from>
    <xdr:ext cx="11721314" cy="2623794"/>
    <xdr:pic>
      <xdr:nvPicPr>
        <xdr:cNvPr id="7" name="Picture 6">
          <a:extLst>
            <a:ext uri="{FF2B5EF4-FFF2-40B4-BE49-F238E27FC236}">
              <a16:creationId xmlns:a16="http://schemas.microsoft.com/office/drawing/2014/main" id="{00000000-0008-0000-0E00-000007000000}"/>
            </a:ext>
          </a:extLst>
        </xdr:cNvPr>
        <xdr:cNvPicPr>
          <a:picLocks noChangeAspect="1"/>
        </xdr:cNvPicPr>
      </xdr:nvPicPr>
      <xdr:blipFill>
        <a:blip xmlns:r="http://schemas.openxmlformats.org/officeDocument/2006/relationships" r:embed="rId6"/>
        <a:stretch>
          <a:fillRect/>
        </a:stretch>
      </xdr:blipFill>
      <xdr:spPr>
        <a:xfrm>
          <a:off x="4729843" y="27758571"/>
          <a:ext cx="11721314" cy="2623794"/>
        </a:xfrm>
        <a:prstGeom prst="rect">
          <a:avLst/>
        </a:prstGeom>
      </xdr:spPr>
    </xdr:pic>
    <xdr:clientData/>
  </xdr:one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0000-000000000000}" autoFormatId="16" applyNumberFormats="0" applyBorderFormats="0" applyFontFormats="0" applyPatternFormats="0" applyAlignmentFormats="0" applyWidthHeightFormats="0">
  <queryTableRefresh nextId="2">
    <queryTableFields count="1">
      <queryTableField id="1" name="FireCost" tableColumnId="1"/>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2" connectionId="7" xr16:uid="{00000000-0016-0000-0200-000001000000}" autoFormatId="16" applyNumberFormats="0" applyBorderFormats="0" applyFontFormats="0" applyPatternFormats="0" applyAlignmentFormats="0" applyWidthHeightFormats="0">
  <queryTableRefresh nextId="29">
    <queryTableFields count="28">
      <queryTableField id="1" name="Column1" tableColumnId="1"/>
      <queryTableField id="2" name="Column2" tableColumnId="2"/>
      <queryTableField id="3" name="Column3" tableColumnId="3"/>
      <queryTableField id="4" name="Column4" tableColumnId="4"/>
      <queryTableField id="5" name="Column5" tableColumnId="5"/>
      <queryTableField id="6" name="Column6" tableColumnId="6"/>
      <queryTableField id="7" name="Column7" tableColumnId="7"/>
      <queryTableField id="8" name="Column8" tableColumnId="8"/>
      <queryTableField id="9" name="Column9" tableColumnId="9"/>
      <queryTableField id="10" name="Column10" tableColumnId="10"/>
      <queryTableField id="11" name="Column11" tableColumnId="11"/>
      <queryTableField id="12" name="Column12" tableColumnId="12"/>
      <queryTableField id="13" name="Column13" tableColumnId="13"/>
      <queryTableField id="14" name="Column14" tableColumnId="14"/>
      <queryTableField id="15" name="Column15" tableColumnId="15"/>
      <queryTableField id="16" name="Column16" tableColumnId="16"/>
      <queryTableField id="17" name="Column17" tableColumnId="17"/>
      <queryTableField id="18" name="Column18" tableColumnId="18"/>
      <queryTableField id="19" name="Column19" tableColumnId="19"/>
      <queryTableField id="20" name="Column20" tableColumnId="20"/>
      <queryTableField id="21" name="Column21" tableColumnId="21"/>
      <queryTableField id="22" name="Column22" tableColumnId="22"/>
      <queryTableField id="23" name="Column23" tableColumnId="23"/>
      <queryTableField id="24" name="Column24" tableColumnId="24"/>
      <queryTableField id="25" name="Column25" tableColumnId="25"/>
      <queryTableField id="26" name="Column26" tableColumnId="26"/>
      <queryTableField id="27" name="Column27" tableColumnId="27"/>
      <queryTableField id="28" name="Column28" tableColumnId="28"/>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lData_1" connectionId="3" xr16:uid="{00000000-0016-0000-0300-000002000000}" autoFormatId="16" applyNumberFormats="0" applyBorderFormats="0" applyFontFormats="0" applyPatternFormats="0" applyAlignmentFormats="0" applyWidthHeightFormats="0">
  <queryTableRefresh nextId="3">
    <queryTableFields count="2">
      <queryTableField id="1" name="Period" tableColumnId="1"/>
      <queryTableField id="2" name="Factor" tableColumnId="2"/>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lData_1" connectionId="5" xr16:uid="{00000000-0016-0000-0400-000003000000}" autoFormatId="16" applyNumberFormats="0" applyBorderFormats="0" applyFontFormats="0" applyPatternFormats="0" applyAlignmentFormats="0" applyWidthHeightFormats="0">
  <queryTableRefresh nextId="2">
    <queryTableFields count="1">
      <queryTableField id="1" name="InvConst" tableColumnId="1"/>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Query - Water Periods" connectionId="6" xr16:uid="{00000000-0016-0000-0500-000004000000}" autoFormatId="16" applyNumberFormats="0" applyBorderFormats="0" applyFontFormats="0" applyPatternFormats="0" applyAlignmentFormats="0" applyWidthHeightFormats="0">
  <queryTableRefresh nextId="37">
    <queryTableFields count="19">
      <queryTableField id="2" name="Project ID" tableColumnId="2"/>
      <queryTableField id="3" name="Project Description" tableColumnId="3"/>
      <queryTableField id="4" name="System" tableColumnId="4"/>
      <queryTableField id="5" name="Projects Cost                                  $ (2019)" tableColumnId="5"/>
      <queryTableField id="8" name="Growth _x000a_(%)" tableColumnId="8"/>
      <queryTableField id="9" name="BTE_x000a_(%)" tableColumnId="9"/>
      <queryTableField id="12" name="Post Period_x000a_Benefit_x000a_(%)" tableColumnId="12"/>
      <queryTableField id="1" name="Period_x000a_Req'd" tableColumnId="1"/>
      <queryTableField id="18" name="BTE Allocation_x000a_Approach" tableColumnId="18"/>
      <queryTableField id="19" name="Rational for BTE (%)" tableColumnId="19"/>
      <queryTableField id="6" name="Table2.Factor" tableColumnId="6"/>
      <queryTableField id="7" name="Escalated Costs" tableColumnId="7"/>
      <queryTableField id="20" name="Construction Interest" tableColumnId="20"/>
      <queryTableField id="31" name="Total RDC" tableColumnId="22"/>
      <queryTableField id="30" name="Fire Protection" tableColumnId="21"/>
      <queryTableField id="32" name="Total RDC Less Fire Protection" tableColumnId="23"/>
      <queryTableField id="33" name="Benefit to Existing" tableColumnId="24"/>
      <queryTableField id="35" name="Post Period Benefit" tableColumnId="25"/>
      <queryTableField id="36" name="Net Escalated Cost" tableColumnId="2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FireCost" displayName="FireCost" ref="A1:A2" tableType="queryTable" totalsRowShown="0">
  <autoFilter ref="A1:A2" xr:uid="{00000000-0009-0000-0100-000006000000}"/>
  <tableColumns count="1">
    <tableColumn id="1" xr3:uid="{00000000-0010-0000-0000-000001000000}" uniqueName="1" name="FireCost" queryTableFieldId="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WaterPeriodsList" displayName="WaterPeriodsList" ref="A1:AB96" tableType="queryTable" totalsRowShown="0">
  <autoFilter ref="A1:AB96" xr:uid="{00000000-0009-0000-0100-000004000000}"/>
  <tableColumns count="28">
    <tableColumn id="1" xr3:uid="{00000000-0010-0000-0100-000001000000}" uniqueName="1" name="Column1" queryTableFieldId="1"/>
    <tableColumn id="2" xr3:uid="{00000000-0010-0000-0100-000002000000}" uniqueName="2" name="Column2" queryTableFieldId="2"/>
    <tableColumn id="3" xr3:uid="{00000000-0010-0000-0100-000003000000}" uniqueName="3" name="Column3" queryTableFieldId="3"/>
    <tableColumn id="4" xr3:uid="{00000000-0010-0000-0100-000004000000}" uniqueName="4" name="Column4" queryTableFieldId="4"/>
    <tableColumn id="5" xr3:uid="{00000000-0010-0000-0100-000005000000}" uniqueName="5" name="Column5" queryTableFieldId="5"/>
    <tableColumn id="6" xr3:uid="{00000000-0010-0000-0100-000006000000}" uniqueName="6" name="Column6" queryTableFieldId="6"/>
    <tableColumn id="7" xr3:uid="{00000000-0010-0000-0100-000007000000}" uniqueName="7" name="Column7" queryTableFieldId="7"/>
    <tableColumn id="8" xr3:uid="{00000000-0010-0000-0100-000008000000}" uniqueName="8" name="Column8" queryTableFieldId="8"/>
    <tableColumn id="9" xr3:uid="{00000000-0010-0000-0100-000009000000}" uniqueName="9" name="Column9" queryTableFieldId="9"/>
    <tableColumn id="10" xr3:uid="{00000000-0010-0000-0100-00000A000000}" uniqueName="10" name="Column10" queryTableFieldId="10"/>
    <tableColumn id="11" xr3:uid="{00000000-0010-0000-0100-00000B000000}" uniqueName="11" name="Column11" queryTableFieldId="11"/>
    <tableColumn id="12" xr3:uid="{00000000-0010-0000-0100-00000C000000}" uniqueName="12" name="Column12" queryTableFieldId="12"/>
    <tableColumn id="13" xr3:uid="{00000000-0010-0000-0100-00000D000000}" uniqueName="13" name="Column13" queryTableFieldId="13"/>
    <tableColumn id="14" xr3:uid="{00000000-0010-0000-0100-00000E000000}" uniqueName="14" name="Column14" queryTableFieldId="14"/>
    <tableColumn id="15" xr3:uid="{00000000-0010-0000-0100-00000F000000}" uniqueName="15" name="Column15" queryTableFieldId="15"/>
    <tableColumn id="16" xr3:uid="{00000000-0010-0000-0100-000010000000}" uniqueName="16" name="Column16" queryTableFieldId="16"/>
    <tableColumn id="17" xr3:uid="{00000000-0010-0000-0100-000011000000}" uniqueName="17" name="Column17" queryTableFieldId="17"/>
    <tableColumn id="18" xr3:uid="{00000000-0010-0000-0100-000012000000}" uniqueName="18" name="Column18" queryTableFieldId="18"/>
    <tableColumn id="19" xr3:uid="{00000000-0010-0000-0100-000013000000}" uniqueName="19" name="Column19" queryTableFieldId="19"/>
    <tableColumn id="20" xr3:uid="{00000000-0010-0000-0100-000014000000}" uniqueName="20" name="Column20" queryTableFieldId="20"/>
    <tableColumn id="21" xr3:uid="{00000000-0010-0000-0100-000015000000}" uniqueName="21" name="Column21" queryTableFieldId="21"/>
    <tableColumn id="22" xr3:uid="{00000000-0010-0000-0100-000016000000}" uniqueName="22" name="Column22" queryTableFieldId="22"/>
    <tableColumn id="23" xr3:uid="{00000000-0010-0000-0100-000017000000}" uniqueName="23" name="Column23" queryTableFieldId="23"/>
    <tableColumn id="24" xr3:uid="{00000000-0010-0000-0100-000018000000}" uniqueName="24" name="Column24" queryTableFieldId="24"/>
    <tableColumn id="25" xr3:uid="{00000000-0010-0000-0100-000019000000}" uniqueName="25" name="Column25" queryTableFieldId="25"/>
    <tableColumn id="26" xr3:uid="{00000000-0010-0000-0100-00001A000000}" uniqueName="26" name="Column26" queryTableFieldId="26"/>
    <tableColumn id="27" xr3:uid="{00000000-0010-0000-0100-00001B000000}" uniqueName="27" name="Column27" queryTableFieldId="27"/>
    <tableColumn id="28" xr3:uid="{00000000-0010-0000-0100-00001C000000}" uniqueName="28" name="Column28" queryTableFieldId="28"/>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EscalationFactorsList" displayName="EscalationFactorsList" ref="A1:B6" tableType="queryTable" totalsRowShown="0">
  <autoFilter ref="A1:B6" xr:uid="{00000000-0009-0000-0100-000003000000}"/>
  <tableColumns count="2">
    <tableColumn id="1" xr3:uid="{00000000-0010-0000-0200-000001000000}" uniqueName="1" name="Period" queryTableFieldId="1"/>
    <tableColumn id="2" xr3:uid="{00000000-0010-0000-0200-000002000000}" uniqueName="2" name="Factor" queryTableFieldId="2"/>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InvConst" displayName="InvConst" ref="A1:A2" tableType="queryTable" totalsRowShown="0">
  <autoFilter ref="A1:A2" xr:uid="{00000000-0009-0000-0100-000005000000}"/>
  <tableColumns count="1">
    <tableColumn id="1" xr3:uid="{00000000-0010-0000-0300-000001000000}" uniqueName="1" name="InvConst" queryTableFieldId="1"/>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4000000}" name="Water_Periods" displayName="Water_Periods" ref="A1:S59" tableType="queryTable" totalsRowCount="1">
  <autoFilter ref="A1:S58" xr:uid="{00000000-0009-0000-0100-000001000000}"/>
  <tableColumns count="19">
    <tableColumn id="2" xr3:uid="{00000000-0010-0000-0400-000002000000}" uniqueName="2" name="Project ID" totalsRowLabel="Total" queryTableFieldId="2"/>
    <tableColumn id="3" xr3:uid="{00000000-0010-0000-0400-000003000000}" uniqueName="3" name="Project Description" queryTableFieldId="3"/>
    <tableColumn id="4" xr3:uid="{00000000-0010-0000-0400-000004000000}" uniqueName="4" name="System" queryTableFieldId="4"/>
    <tableColumn id="5" xr3:uid="{00000000-0010-0000-0400-000005000000}" uniqueName="5" name="Projects Cost                                  $ (2019)" queryTableFieldId="5"/>
    <tableColumn id="8" xr3:uid="{00000000-0010-0000-0400-000008000000}" uniqueName="8" name="Growth _x000a_(%)" queryTableFieldId="8"/>
    <tableColumn id="9" xr3:uid="{00000000-0010-0000-0400-000009000000}" uniqueName="9" name="BTE_x000a_(%)" queryTableFieldId="9"/>
    <tableColumn id="12" xr3:uid="{00000000-0010-0000-0400-00000C000000}" uniqueName="12" name="Post Period_x000a_Benefit_x000a_(%)" queryTableFieldId="12" dataDxfId="15"/>
    <tableColumn id="1" xr3:uid="{00000000-0010-0000-0400-000001000000}" uniqueName="1" name="Period_x000a_Req'd" queryTableFieldId="1" dataDxfId="14"/>
    <tableColumn id="18" xr3:uid="{00000000-0010-0000-0400-000012000000}" uniqueName="18" name="BTE Allocation_x000a_Approach" queryTableFieldId="18"/>
    <tableColumn id="19" xr3:uid="{00000000-0010-0000-0400-000013000000}" uniqueName="19" name="Rational for BTE (%)" queryTableFieldId="19"/>
    <tableColumn id="6" xr3:uid="{00000000-0010-0000-0400-000006000000}" uniqueName="6" name="Table2.Factor" queryTableFieldId="6"/>
    <tableColumn id="7" xr3:uid="{00000000-0010-0000-0400-000007000000}" uniqueName="7" name="Escalated Costs" totalsRowFunction="sum" queryTableFieldId="7" dataDxfId="13" totalsRowDxfId="12" dataCellStyle="Currency"/>
    <tableColumn id="20" xr3:uid="{00000000-0010-0000-0400-000014000000}" uniqueName="20" name="Construction Interest" totalsRowFunction="sum" queryTableFieldId="20" dataDxfId="11" totalsRowDxfId="10" dataCellStyle="Currency"/>
    <tableColumn id="22" xr3:uid="{00000000-0010-0000-0400-000016000000}" uniqueName="22" name="Total RDC" queryTableFieldId="31"/>
    <tableColumn id="21" xr3:uid="{00000000-0010-0000-0400-000015000000}" uniqueName="21" name="Fire Protection" totalsRowFunction="sum" queryTableFieldId="30" dataDxfId="9" totalsRowDxfId="8" dataCellStyle="Currency"/>
    <tableColumn id="23" xr3:uid="{00000000-0010-0000-0400-000017000000}" uniqueName="23" name="Total RDC Less Fire Protection" queryTableFieldId="32" dataDxfId="7" totalsRowDxfId="6" dataCellStyle="Currency"/>
    <tableColumn id="24" xr3:uid="{00000000-0010-0000-0400-000018000000}" uniqueName="24" name="Benefit to Existing" totalsRowFunction="sum" queryTableFieldId="33" dataDxfId="5" totalsRowDxfId="4" dataCellStyle="Currency"/>
    <tableColumn id="25" xr3:uid="{00000000-0010-0000-0400-000019000000}" uniqueName="25" name="Post Period Benefit" totalsRowFunction="sum" queryTableFieldId="35" dataDxfId="3" totalsRowDxfId="2" dataCellStyle="Currency"/>
    <tableColumn id="26" xr3:uid="{00000000-0010-0000-0400-00001A000000}" uniqueName="26" name="Net Escalated Cost" totalsRowFunction="sum" queryTableFieldId="36" dataDxfId="1" totalsRowDxfId="0" dataCellStyle="Currency"/>
  </tableColumns>
  <tableStyleInfo name="TableStyleMedium7"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0.bin"/><Relationship Id="rId1" Type="http://schemas.openxmlformats.org/officeDocument/2006/relationships/hyperlink" Target="https://www.bankofcanada.ca/rates/interest-rates/canadian-interest-rates/"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bankofcanada.ca/rates/interest-rates/lookup-bond-yields/" TargetMode="Externa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150.statcan.gc.ca/t1/tbl1/en/cv.action?pid=1810004901"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150.statcan.gc.ca/n1/pub/62-001-x/2018004/tbl/tbl-12-eng.ht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workbookViewId="0">
      <selection sqref="A1:A2"/>
    </sheetView>
  </sheetViews>
  <sheetFormatPr defaultRowHeight="12.5" x14ac:dyDescent="0.25"/>
  <cols>
    <col min="1" max="1" width="10.453125" bestFit="1" customWidth="1"/>
  </cols>
  <sheetData>
    <row r="1" spans="1:1" x14ac:dyDescent="0.25">
      <c r="A1" t="s">
        <v>705</v>
      </c>
    </row>
    <row r="2" spans="1:1" x14ac:dyDescent="0.25">
      <c r="A2">
        <v>0</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pageSetUpPr fitToPage="1"/>
  </sheetPr>
  <dimension ref="A1:O63"/>
  <sheetViews>
    <sheetView topLeftCell="A34" zoomScaleNormal="100" workbookViewId="0">
      <selection activeCell="D30" sqref="D30"/>
    </sheetView>
  </sheetViews>
  <sheetFormatPr defaultRowHeight="12.5" x14ac:dyDescent="0.25"/>
  <cols>
    <col min="1" max="1" width="70.36328125" customWidth="1"/>
    <col min="2" max="2" width="23.26953125" bestFit="1" customWidth="1"/>
    <col min="3" max="3" width="5.7265625" customWidth="1"/>
    <col min="4" max="4" width="13.90625" bestFit="1" customWidth="1"/>
    <col min="5" max="5" width="8.90625" customWidth="1"/>
    <col min="6" max="6" width="26.7265625" style="5" bestFit="1" customWidth="1"/>
    <col min="7" max="7" width="13.453125" bestFit="1" customWidth="1"/>
    <col min="8" max="8" width="18" bestFit="1" customWidth="1"/>
    <col min="9" max="15" width="10.1796875" bestFit="1" customWidth="1"/>
  </cols>
  <sheetData>
    <row r="1" spans="1:13" s="46" customFormat="1" ht="23" x14ac:dyDescent="0.5">
      <c r="A1" s="352" t="s">
        <v>804</v>
      </c>
      <c r="B1" s="352"/>
      <c r="C1" s="56"/>
      <c r="D1" s="47"/>
      <c r="E1" s="48"/>
      <c r="G1" s="47"/>
      <c r="I1" s="165"/>
      <c r="J1" s="166"/>
      <c r="K1" s="166"/>
      <c r="M1" s="141"/>
    </row>
    <row r="2" spans="1:13" ht="14.25" customHeight="1" x14ac:dyDescent="0.4">
      <c r="A2" s="37"/>
      <c r="B2" s="37"/>
      <c r="C2" s="6"/>
      <c r="D2" s="6"/>
      <c r="E2" s="6"/>
    </row>
    <row r="3" spans="1:13" x14ac:dyDescent="0.25">
      <c r="A3" s="6"/>
      <c r="B3" s="6"/>
      <c r="C3" s="6"/>
      <c r="D3" s="6"/>
      <c r="E3" s="6"/>
    </row>
    <row r="4" spans="1:13" ht="13" x14ac:dyDescent="0.3">
      <c r="A4" s="75" t="s">
        <v>805</v>
      </c>
      <c r="B4" s="7" t="s">
        <v>3</v>
      </c>
      <c r="C4" s="6"/>
      <c r="D4" s="135">
        <f>'Water - Phase Costs'!H77</f>
        <v>314577641.94620466</v>
      </c>
      <c r="E4" s="6"/>
      <c r="G4" s="4"/>
      <c r="H4" s="62"/>
    </row>
    <row r="5" spans="1:13" ht="13" x14ac:dyDescent="0.3">
      <c r="A5" s="6"/>
      <c r="B5" s="7"/>
      <c r="C5" s="6"/>
      <c r="D5" s="135"/>
      <c r="E5" s="6"/>
      <c r="G5" s="23"/>
      <c r="H5" s="53"/>
    </row>
    <row r="6" spans="1:13" ht="13" x14ac:dyDescent="0.3">
      <c r="A6" s="75" t="s">
        <v>785</v>
      </c>
      <c r="B6" s="7" t="s">
        <v>305</v>
      </c>
      <c r="C6" s="6"/>
      <c r="D6" s="135">
        <f>'Water - Phase Costs'!I77</f>
        <v>5568024.2624478256</v>
      </c>
      <c r="E6" s="43" t="s">
        <v>710</v>
      </c>
      <c r="G6" s="23"/>
      <c r="H6" s="53"/>
    </row>
    <row r="7" spans="1:13" ht="13.5" thickBot="1" x14ac:dyDescent="0.35">
      <c r="A7" s="6"/>
      <c r="B7" s="7"/>
      <c r="C7" s="6"/>
      <c r="D7" s="135"/>
      <c r="E7" s="6"/>
      <c r="G7" s="23"/>
      <c r="H7" s="53"/>
    </row>
    <row r="8" spans="1:13" ht="13" x14ac:dyDescent="0.3">
      <c r="A8" s="75" t="s">
        <v>806</v>
      </c>
      <c r="B8" s="7" t="s">
        <v>447</v>
      </c>
      <c r="C8" s="6"/>
      <c r="D8" s="196">
        <f>D6+D4</f>
        <v>320145666.2086525</v>
      </c>
      <c r="E8" s="6"/>
      <c r="F8" s="155"/>
      <c r="G8" s="23"/>
      <c r="H8" s="53"/>
    </row>
    <row r="9" spans="1:13" ht="13" x14ac:dyDescent="0.3">
      <c r="A9" s="6"/>
      <c r="B9" s="7"/>
      <c r="C9" s="6"/>
      <c r="D9" s="135"/>
      <c r="E9" s="6"/>
      <c r="G9" s="23"/>
      <c r="H9" s="53"/>
    </row>
    <row r="10" spans="1:13" ht="13" x14ac:dyDescent="0.3">
      <c r="A10" s="75" t="s">
        <v>788</v>
      </c>
      <c r="B10" s="41" t="s">
        <v>716</v>
      </c>
      <c r="C10" s="6"/>
      <c r="D10" s="135">
        <f>-'Water - Phase Costs'!L77</f>
        <v>-179307874.13667464</v>
      </c>
      <c r="E10" s="43" t="s">
        <v>711</v>
      </c>
      <c r="G10" s="23"/>
      <c r="H10" s="53"/>
    </row>
    <row r="11" spans="1:13" ht="13" x14ac:dyDescent="0.3">
      <c r="B11" s="7"/>
      <c r="C11" s="6"/>
      <c r="D11" s="135"/>
      <c r="E11" s="6"/>
      <c r="G11" s="23"/>
      <c r="H11" s="53"/>
    </row>
    <row r="12" spans="1:13" ht="13" x14ac:dyDescent="0.3">
      <c r="A12" s="75" t="s">
        <v>789</v>
      </c>
      <c r="B12" s="41" t="str">
        <f>_xlfn.CONCAT("(E) = ((C) - (D)) * ",TEXT('Population Projections'!C36 * 100,"0.0"),"%")</f>
        <v>(E) = ((C) - (D)) * 23.4%</v>
      </c>
      <c r="C12" s="6"/>
      <c r="D12" s="135">
        <f>-'Water - Phase Costs'!N77</f>
        <v>-32967159.439066008</v>
      </c>
      <c r="E12" s="43" t="s">
        <v>712</v>
      </c>
      <c r="F12" s="162"/>
      <c r="G12" s="23"/>
      <c r="H12" s="53"/>
    </row>
    <row r="13" spans="1:13" ht="13.5" thickBot="1" x14ac:dyDescent="0.35">
      <c r="A13" s="75"/>
      <c r="B13" s="7"/>
      <c r="C13" s="6"/>
      <c r="D13" s="135"/>
      <c r="E13" s="6"/>
      <c r="G13" s="23"/>
      <c r="H13" s="53"/>
    </row>
    <row r="14" spans="1:13" ht="13" x14ac:dyDescent="0.3">
      <c r="A14" s="75" t="s">
        <v>807</v>
      </c>
      <c r="B14" s="7" t="s">
        <v>448</v>
      </c>
      <c r="C14" s="6"/>
      <c r="D14" s="196">
        <f>'Water - Phase Costs'!O77</f>
        <v>107870632.63291189</v>
      </c>
      <c r="E14" s="6"/>
      <c r="F14" s="155"/>
      <c r="G14" s="23"/>
      <c r="H14" s="53"/>
    </row>
    <row r="15" spans="1:13" ht="13" x14ac:dyDescent="0.3">
      <c r="A15" s="6"/>
      <c r="B15" s="7"/>
      <c r="C15" s="6"/>
      <c r="D15" s="135"/>
      <c r="E15" s="6"/>
      <c r="G15" s="23"/>
      <c r="H15" s="53"/>
    </row>
    <row r="16" spans="1:13" ht="13" x14ac:dyDescent="0.3">
      <c r="A16" s="63" t="s">
        <v>791</v>
      </c>
      <c r="B16" s="64" t="s">
        <v>449</v>
      </c>
      <c r="C16" s="84"/>
      <c r="D16" s="198">
        <f>'Water - Financial Model'!L103</f>
        <v>-20167514.352186631</v>
      </c>
      <c r="E16" s="44" t="s">
        <v>713</v>
      </c>
      <c r="G16" s="23"/>
      <c r="H16" s="53"/>
    </row>
    <row r="17" spans="1:8" ht="13.5" thickBot="1" x14ac:dyDescent="0.35">
      <c r="A17" s="6"/>
      <c r="B17" s="64"/>
      <c r="C17" s="84"/>
      <c r="D17" s="136"/>
      <c r="E17" s="6"/>
      <c r="G17" s="23"/>
      <c r="H17" s="53"/>
    </row>
    <row r="18" spans="1:8" ht="13.5" thickBot="1" x14ac:dyDescent="0.35">
      <c r="A18" s="75" t="s">
        <v>792</v>
      </c>
      <c r="B18" s="7" t="s">
        <v>450</v>
      </c>
      <c r="C18" s="6"/>
      <c r="D18" s="197">
        <f>D14+D16</f>
        <v>87703118.280725256</v>
      </c>
      <c r="E18" s="6"/>
      <c r="G18" s="23"/>
      <c r="H18" s="53"/>
    </row>
    <row r="19" spans="1:8" ht="13.5" thickTop="1" x14ac:dyDescent="0.3">
      <c r="A19" s="6"/>
      <c r="B19" s="7"/>
      <c r="C19" s="6"/>
      <c r="D19" s="135"/>
      <c r="E19" s="6"/>
      <c r="G19" s="23"/>
      <c r="H19" s="53"/>
    </row>
    <row r="20" spans="1:8" ht="13" x14ac:dyDescent="0.3">
      <c r="A20" s="75" t="s">
        <v>793</v>
      </c>
      <c r="B20" s="7" t="s">
        <v>451</v>
      </c>
      <c r="C20" s="6"/>
      <c r="D20" s="267">
        <f>D28/(D28+D30)</f>
        <v>0.6322589317297489</v>
      </c>
      <c r="E20" s="75"/>
      <c r="G20" s="23"/>
      <c r="H20" s="53"/>
    </row>
    <row r="21" spans="1:8" ht="13" x14ac:dyDescent="0.3">
      <c r="A21" s="6"/>
      <c r="B21" s="7"/>
      <c r="C21" s="6"/>
      <c r="D21" s="268"/>
      <c r="E21" s="6"/>
      <c r="F21" s="83"/>
      <c r="G21" s="23"/>
      <c r="H21" s="53"/>
    </row>
    <row r="22" spans="1:8" ht="13" x14ac:dyDescent="0.3">
      <c r="A22" s="75" t="s">
        <v>858</v>
      </c>
      <c r="B22" s="7" t="s">
        <v>306</v>
      </c>
      <c r="C22" s="6"/>
      <c r="D22" s="267">
        <f>D30/(D28+D30)</f>
        <v>0.3677410682702511</v>
      </c>
      <c r="E22" s="75"/>
      <c r="G22" s="23"/>
      <c r="H22" s="53"/>
    </row>
    <row r="23" spans="1:8" ht="13" x14ac:dyDescent="0.3">
      <c r="A23" s="6"/>
      <c r="B23" s="7"/>
      <c r="C23" s="6"/>
      <c r="D23" s="111"/>
      <c r="E23" s="21"/>
      <c r="G23" s="23"/>
      <c r="H23" s="53"/>
    </row>
    <row r="24" spans="1:8" ht="13" x14ac:dyDescent="0.3">
      <c r="A24" s="75" t="s">
        <v>794</v>
      </c>
      <c r="B24" s="7" t="s">
        <v>452</v>
      </c>
      <c r="C24" s="6"/>
      <c r="D24" s="142">
        <f>D20*D18</f>
        <v>55451079.873539165</v>
      </c>
      <c r="E24" s="75"/>
      <c r="G24" s="23"/>
      <c r="H24" s="53"/>
    </row>
    <row r="25" spans="1:8" ht="13" x14ac:dyDescent="0.3">
      <c r="A25" s="6"/>
      <c r="B25" s="7"/>
      <c r="C25" s="6"/>
      <c r="D25" s="136"/>
      <c r="E25" s="21"/>
      <c r="G25" s="23"/>
      <c r="H25" s="53"/>
    </row>
    <row r="26" spans="1:8" ht="13" x14ac:dyDescent="0.3">
      <c r="A26" s="75" t="s">
        <v>795</v>
      </c>
      <c r="B26" s="7" t="s">
        <v>453</v>
      </c>
      <c r="C26" s="6"/>
      <c r="D26" s="142">
        <f>D18*D22</f>
        <v>32252038.407186095</v>
      </c>
      <c r="E26" s="14"/>
      <c r="F26" s="70"/>
      <c r="G26" s="23"/>
      <c r="H26" s="53"/>
    </row>
    <row r="27" spans="1:8" ht="13" x14ac:dyDescent="0.3">
      <c r="A27" s="75"/>
      <c r="B27" s="7"/>
      <c r="C27" s="6"/>
    </row>
    <row r="28" spans="1:8" ht="13" x14ac:dyDescent="0.3">
      <c r="A28" s="75" t="s">
        <v>845</v>
      </c>
      <c r="B28" s="7" t="s">
        <v>441</v>
      </c>
      <c r="C28" s="6"/>
      <c r="D28" s="143">
        <f>'Population Projections'!J30</f>
        <v>89369.8</v>
      </c>
      <c r="E28" s="44" t="s">
        <v>714</v>
      </c>
    </row>
    <row r="29" spans="1:8" ht="13" x14ac:dyDescent="0.3">
      <c r="A29" s="75"/>
      <c r="B29" s="7"/>
      <c r="C29" s="6"/>
    </row>
    <row r="30" spans="1:8" ht="13" x14ac:dyDescent="0.3">
      <c r="A30" s="75" t="s">
        <v>859</v>
      </c>
      <c r="B30" s="7" t="s">
        <v>443</v>
      </c>
      <c r="C30" s="6"/>
      <c r="D30" s="143">
        <f>'Population Projections'!K30</f>
        <v>51980.2</v>
      </c>
      <c r="E30" s="44" t="s">
        <v>715</v>
      </c>
    </row>
    <row r="31" spans="1:8" s="5" customFormat="1" ht="13" x14ac:dyDescent="0.3">
      <c r="A31" s="75"/>
      <c r="B31" s="7"/>
      <c r="C31" s="6"/>
      <c r="D31"/>
      <c r="E31"/>
      <c r="G31"/>
      <c r="H31"/>
    </row>
    <row r="32" spans="1:8" s="5" customFormat="1" ht="13" x14ac:dyDescent="0.3">
      <c r="A32" s="75" t="s">
        <v>796</v>
      </c>
      <c r="B32" s="7" t="str">
        <f>_xlfn.CONCAT("(M) = (K) / ",'Population Projections'!G15," ppu")</f>
        <v>(M) = (K) / 2.04 ppu</v>
      </c>
      <c r="C32" s="6"/>
      <c r="D32" s="144">
        <f>ROUND(D28/'Population Projections'!G15,0)</f>
        <v>43809</v>
      </c>
      <c r="E32"/>
      <c r="G32"/>
      <c r="H32"/>
    </row>
    <row r="33" spans="1:15" s="5" customFormat="1" ht="13" x14ac:dyDescent="0.3">
      <c r="A33" s="75"/>
      <c r="B33" s="7"/>
      <c r="C33" s="6"/>
      <c r="D33" s="144"/>
      <c r="E33"/>
      <c r="G33"/>
      <c r="H33"/>
    </row>
    <row r="34" spans="1:15" s="5" customFormat="1" ht="13" x14ac:dyDescent="0.3">
      <c r="A34" s="75" t="s">
        <v>797</v>
      </c>
      <c r="B34" s="7" t="str">
        <f>_xlfn.CONCAT("(N) = (M) * ",'Population Projections'!G17*100,"%")</f>
        <v>(N) = (M) * 26%</v>
      </c>
      <c r="C34" s="6"/>
      <c r="D34" s="144">
        <f>ROUND(D32*'Population Projections'!G17,0)</f>
        <v>11390</v>
      </c>
      <c r="E34" s="62"/>
      <c r="F34" s="271"/>
      <c r="G34"/>
      <c r="H34"/>
    </row>
    <row r="35" spans="1:15" s="5" customFormat="1" ht="13" x14ac:dyDescent="0.3">
      <c r="A35" s="75"/>
      <c r="B35" s="7"/>
      <c r="C35" s="6"/>
      <c r="D35" s="144"/>
      <c r="E35"/>
      <c r="F35" s="271"/>
      <c r="G35"/>
      <c r="H35"/>
    </row>
    <row r="36" spans="1:15" s="5" customFormat="1" ht="13" x14ac:dyDescent="0.3">
      <c r="A36" s="75" t="s">
        <v>798</v>
      </c>
      <c r="B36" s="7" t="str">
        <f>_xlfn.CONCAT("(O) = (M) * ",'Population Projections'!G18*100,"%")</f>
        <v>(O) = (M) * 74%</v>
      </c>
      <c r="C36" s="6"/>
      <c r="D36" s="144">
        <f>ROUND(D32*'Population Projections'!G18,0)</f>
        <v>32419</v>
      </c>
      <c r="E36" s="62"/>
      <c r="G36"/>
      <c r="H36"/>
    </row>
    <row r="37" spans="1:15" s="5" customFormat="1" ht="13" x14ac:dyDescent="0.3">
      <c r="A37" s="75"/>
      <c r="B37" s="7"/>
      <c r="C37" s="6"/>
      <c r="D37"/>
      <c r="E37"/>
      <c r="G37"/>
      <c r="H37" s="62" t="s">
        <v>830</v>
      </c>
    </row>
    <row r="38" spans="1:15" s="5" customFormat="1" ht="13" x14ac:dyDescent="0.3">
      <c r="A38" s="75" t="s">
        <v>799</v>
      </c>
      <c r="B38" s="7" t="s">
        <v>454</v>
      </c>
      <c r="C38" s="6"/>
      <c r="D38" s="204">
        <f>3.35/2.25</f>
        <v>1.4888888888888889</v>
      </c>
      <c r="E38" s="44" t="s">
        <v>865</v>
      </c>
      <c r="G38"/>
      <c r="H38"/>
    </row>
    <row r="39" spans="1:15" s="5" customFormat="1" ht="13" x14ac:dyDescent="0.3">
      <c r="A39" s="75"/>
      <c r="B39" s="7"/>
      <c r="C39" s="6"/>
      <c r="D39"/>
      <c r="E39"/>
      <c r="H39" s="231"/>
      <c r="I39" s="232">
        <v>2019</v>
      </c>
      <c r="J39" s="232">
        <v>2020</v>
      </c>
      <c r="K39" s="232">
        <v>2021</v>
      </c>
      <c r="L39" s="232">
        <v>2022</v>
      </c>
      <c r="M39" s="232">
        <v>2023</v>
      </c>
      <c r="N39" s="232">
        <v>2024</v>
      </c>
      <c r="O39" s="232">
        <v>2025</v>
      </c>
    </row>
    <row r="40" spans="1:15" s="5" customFormat="1" ht="13" x14ac:dyDescent="0.3">
      <c r="A40" s="75" t="s">
        <v>800</v>
      </c>
      <c r="B40" s="7" t="s">
        <v>455</v>
      </c>
      <c r="C40" s="6"/>
      <c r="D40" s="160">
        <f>D24/(D34+(D36/D38))</f>
        <v>1672.0285472346234</v>
      </c>
      <c r="E40" s="70" t="s">
        <v>818</v>
      </c>
      <c r="F40" s="70" t="s">
        <v>820</v>
      </c>
      <c r="G40" s="70"/>
      <c r="H40" s="233" t="s">
        <v>828</v>
      </c>
      <c r="I40" s="234">
        <f>$D$40*VLOOKUP(I39,'Escalation Factors'!$E$17:$F$44,2, FALSE)</f>
        <v>1672.0285472346234</v>
      </c>
      <c r="J40" s="234">
        <f>$D$40*VLOOKUP(J39,'Escalation Factors'!$E$17:$F$44,2, FALSE)</f>
        <v>1697.1089754431425</v>
      </c>
      <c r="K40" s="234">
        <f>$D$40*VLOOKUP(K39,'Escalation Factors'!$E$17:$F$44,2, FALSE)</f>
        <v>1723.8427223155952</v>
      </c>
      <c r="L40" s="234">
        <f>$D$40*VLOOKUP(L39,'Escalation Factors'!$E$17:$F$44,2, FALSE)</f>
        <v>1750.3488579637769</v>
      </c>
      <c r="M40" s="234">
        <f>$D$40*VLOOKUP(M39,'Escalation Factors'!$E$17:$F$44,2, FALSE)</f>
        <v>1777.262557027057</v>
      </c>
      <c r="N40" s="234">
        <f>$D$40*VLOOKUP(N39,'Escalation Factors'!$E$17:$F$44,2, FALSE)</f>
        <v>1804.5900862785154</v>
      </c>
      <c r="O40" s="234">
        <f>$D$40*VLOOKUP(O39,'Escalation Factors'!$E$17:$F$44,2, FALSE)</f>
        <v>1832.3378088503343</v>
      </c>
    </row>
    <row r="41" spans="1:15" s="5" customFormat="1" ht="13" x14ac:dyDescent="0.3">
      <c r="A41" s="75"/>
      <c r="B41" s="7"/>
      <c r="C41" s="6"/>
      <c r="G41" s="70"/>
      <c r="H41" s="233" t="s">
        <v>829</v>
      </c>
      <c r="I41" s="234">
        <f>$D$42*VLOOKUP(I39,'Escalation Factors'!$E$17:$F$44,2, FALSE)</f>
        <v>1123.0042481426574</v>
      </c>
      <c r="J41" s="234">
        <f>$D$42*VLOOKUP(J39,'Escalation Factors'!$E$17:$F$44,2, FALSE)</f>
        <v>1139.8493118647971</v>
      </c>
      <c r="K41" s="234">
        <f>$D$42*VLOOKUP(K39,'Escalation Factors'!$E$17:$F$44,2, FALSE)</f>
        <v>1157.8048134955488</v>
      </c>
      <c r="L41" s="234">
        <f>$D$42*VLOOKUP(L39,'Escalation Factors'!$E$17:$F$44,2, FALSE)</f>
        <v>1175.6074419159695</v>
      </c>
      <c r="M41" s="234">
        <f>$D$42*VLOOKUP(M39,'Escalation Factors'!$E$17:$F$44,2, FALSE)</f>
        <v>1193.683806958471</v>
      </c>
      <c r="N41" s="234">
        <f>$D$42*VLOOKUP(N39,'Escalation Factors'!$E$17:$F$44,2, FALSE)</f>
        <v>1212.038117649749</v>
      </c>
      <c r="O41" s="234">
        <f>$D$42*VLOOKUP(O39,'Escalation Factors'!$E$17:$F$44,2, FALSE)</f>
        <v>1230.674647735299</v>
      </c>
    </row>
    <row r="42" spans="1:15" s="5" customFormat="1" ht="15" x14ac:dyDescent="0.3">
      <c r="A42" s="75" t="s">
        <v>801</v>
      </c>
      <c r="B42" s="7" t="s">
        <v>456</v>
      </c>
      <c r="C42" s="6"/>
      <c r="D42" s="160">
        <f>D24/(D36+(D34*D38))</f>
        <v>1123.0042481426574</v>
      </c>
      <c r="E42" s="70" t="s">
        <v>819</v>
      </c>
      <c r="F42" s="70" t="s">
        <v>820</v>
      </c>
      <c r="G42" s="70"/>
      <c r="H42" s="233" t="s">
        <v>827</v>
      </c>
      <c r="I42" s="234">
        <f>$D$48*VLOOKUP(I39,'Escalation Factors'!$E$17:$F$44,2, FALSE)</f>
        <v>0.7666471077632131</v>
      </c>
      <c r="J42" s="234">
        <f>$D$48*VLOOKUP(J39,'Escalation Factors'!$E$17:$F$44,2, FALSE)</f>
        <v>0.77814681437966127</v>
      </c>
      <c r="K42" s="234">
        <f>$D$48*VLOOKUP(K39,'Escalation Factors'!$E$17:$F$44,2, FALSE)</f>
        <v>0.79040458937598945</v>
      </c>
      <c r="L42" s="234">
        <f>$D$48*VLOOKUP(L39,'Escalation Factors'!$E$17:$F$44,2, FALSE)</f>
        <v>0.80255800162858926</v>
      </c>
      <c r="M42" s="234">
        <f>$D$48*VLOOKUP(M39,'Escalation Factors'!$E$17:$F$44,2, FALSE)</f>
        <v>0.81489828707419287</v>
      </c>
      <c r="N42" s="234">
        <f>$D$48*VLOOKUP(N39,'Escalation Factors'!$E$17:$F$44,2, FALSE)</f>
        <v>0.82742831911078429</v>
      </c>
      <c r="O42" s="234">
        <f>$D$48*VLOOKUP(O39,'Escalation Factors'!$E$17:$F$44,2, FALSE)</f>
        <v>0.84015101531826475</v>
      </c>
    </row>
    <row r="43" spans="1:15" s="5" customFormat="1" ht="15" x14ac:dyDescent="0.3">
      <c r="A43" s="75"/>
      <c r="B43" s="7"/>
      <c r="C43" s="6"/>
      <c r="G43" s="70"/>
      <c r="H43" s="233" t="s">
        <v>826</v>
      </c>
      <c r="I43" s="234">
        <f>CONVERT(I42,"m^2","ft^2")</f>
        <v>8.2521207891928299</v>
      </c>
      <c r="J43" s="234">
        <f t="shared" ref="J43:N43" si="0">CONVERT(J42,"m^2","ft^2")</f>
        <v>8.375902601030722</v>
      </c>
      <c r="K43" s="234">
        <f t="shared" si="0"/>
        <v>8.507844192999384</v>
      </c>
      <c r="L43" s="234">
        <f t="shared" si="0"/>
        <v>8.6386624337437095</v>
      </c>
      <c r="M43" s="234">
        <f t="shared" si="0"/>
        <v>8.7714921607968144</v>
      </c>
      <c r="N43" s="234">
        <f t="shared" si="0"/>
        <v>8.9063643031571864</v>
      </c>
      <c r="O43" s="234">
        <f t="shared" ref="O43" si="1">CONVERT(O42,"m^2","ft^2")</f>
        <v>9.0433102653935187</v>
      </c>
    </row>
    <row r="44" spans="1:15" s="5" customFormat="1" ht="13" x14ac:dyDescent="0.3">
      <c r="A44" s="75" t="s">
        <v>890</v>
      </c>
      <c r="B44" s="7" t="s">
        <v>457</v>
      </c>
      <c r="C44" s="6"/>
      <c r="D44" s="161">
        <f>D26/D30</f>
        <v>620.46776286328441</v>
      </c>
      <c r="E44" s="86" t="s">
        <v>889</v>
      </c>
      <c r="G44" s="70"/>
      <c r="H44" s="70"/>
      <c r="I44" s="70"/>
    </row>
    <row r="45" spans="1:15" s="5" customFormat="1" ht="13" x14ac:dyDescent="0.3">
      <c r="A45" s="75"/>
      <c r="B45" s="7"/>
      <c r="C45" s="6"/>
      <c r="G45" s="70"/>
      <c r="H45" s="70"/>
      <c r="I45" s="70"/>
    </row>
    <row r="46" spans="1:15" s="5" customFormat="1" ht="13" x14ac:dyDescent="0.3">
      <c r="A46" s="63" t="s">
        <v>871</v>
      </c>
      <c r="B46" s="7" t="s">
        <v>458</v>
      </c>
      <c r="C46" s="6"/>
      <c r="D46" s="143">
        <f>'Population Projections'!G22</f>
        <v>809.32642487046633</v>
      </c>
      <c r="E46" s="86" t="s">
        <v>888</v>
      </c>
      <c r="G46" s="70"/>
      <c r="H46" s="70"/>
      <c r="I46" s="70"/>
    </row>
    <row r="47" spans="1:15" ht="13" x14ac:dyDescent="0.3">
      <c r="A47" s="75"/>
      <c r="B47" s="7"/>
      <c r="C47" s="6"/>
      <c r="D47" s="5"/>
      <c r="E47" s="5"/>
      <c r="G47" s="70"/>
      <c r="H47" s="70"/>
      <c r="I47" s="70"/>
      <c r="J47" s="5"/>
      <c r="K47" s="5"/>
      <c r="L47" s="5"/>
      <c r="M47" s="5"/>
      <c r="N47" s="5"/>
    </row>
    <row r="48" spans="1:15" ht="15" x14ac:dyDescent="0.3">
      <c r="A48" s="75" t="s">
        <v>802</v>
      </c>
      <c r="B48" s="7" t="s">
        <v>717</v>
      </c>
      <c r="C48" s="6"/>
      <c r="D48" s="189">
        <f>D44/D46</f>
        <v>0.7666471077632131</v>
      </c>
      <c r="E48" s="70" t="s">
        <v>754</v>
      </c>
      <c r="F48" s="70" t="s">
        <v>820</v>
      </c>
      <c r="G48" s="70"/>
      <c r="H48" s="189"/>
      <c r="I48" s="70"/>
      <c r="J48" s="5"/>
      <c r="K48" s="5"/>
      <c r="L48" s="5"/>
      <c r="M48" s="189"/>
      <c r="N48" s="5"/>
    </row>
    <row r="49" spans="1:14" ht="15" x14ac:dyDescent="0.3">
      <c r="A49" s="75"/>
      <c r="B49" s="7"/>
      <c r="C49" s="6"/>
      <c r="D49" s="190">
        <f>CONVERT(D48,"m^2","ft^2")</f>
        <v>8.2521207891928299</v>
      </c>
      <c r="E49" s="70" t="s">
        <v>755</v>
      </c>
      <c r="F49" s="70" t="s">
        <v>820</v>
      </c>
      <c r="G49" s="70"/>
      <c r="H49" s="189"/>
      <c r="I49" s="70"/>
      <c r="J49" s="5"/>
      <c r="K49" s="5"/>
      <c r="L49" s="5"/>
      <c r="M49" s="189"/>
      <c r="N49" s="5"/>
    </row>
    <row r="50" spans="1:14" x14ac:dyDescent="0.25">
      <c r="A50" s="350" t="s">
        <v>719</v>
      </c>
      <c r="B50" s="351"/>
      <c r="C50" s="351"/>
      <c r="D50" s="351"/>
      <c r="E50" s="6"/>
      <c r="H50" s="5"/>
      <c r="I50" s="5"/>
      <c r="J50" s="5"/>
      <c r="K50" s="5"/>
      <c r="L50" s="5"/>
      <c r="M50" s="5"/>
      <c r="N50" s="5"/>
    </row>
    <row r="51" spans="1:14" x14ac:dyDescent="0.25">
      <c r="A51" s="350" t="s">
        <v>718</v>
      </c>
      <c r="B51" s="351"/>
      <c r="C51" s="351"/>
      <c r="D51" s="351"/>
      <c r="E51" s="6"/>
    </row>
    <row r="52" spans="1:14" x14ac:dyDescent="0.25">
      <c r="A52" s="350" t="s">
        <v>847</v>
      </c>
      <c r="B52" s="351"/>
      <c r="C52" s="351"/>
      <c r="D52" s="351"/>
      <c r="E52" s="6"/>
    </row>
    <row r="53" spans="1:14" ht="11" customHeight="1" x14ac:dyDescent="0.25">
      <c r="A53" s="353" t="s">
        <v>869</v>
      </c>
      <c r="B53" s="354"/>
      <c r="C53" s="354"/>
      <c r="D53" s="354"/>
      <c r="E53" s="6"/>
      <c r="L53" s="216"/>
    </row>
    <row r="54" spans="1:14" x14ac:dyDescent="0.25">
      <c r="A54" s="354"/>
      <c r="B54" s="354"/>
      <c r="C54" s="354"/>
      <c r="D54" s="354"/>
      <c r="E54" s="6"/>
    </row>
    <row r="55" spans="1:14" ht="13" x14ac:dyDescent="0.3">
      <c r="A55" s="350" t="s">
        <v>848</v>
      </c>
      <c r="B55" s="351"/>
      <c r="C55" s="351"/>
      <c r="D55" s="351"/>
      <c r="E55" s="6"/>
      <c r="F55" s="156"/>
    </row>
    <row r="56" spans="1:14" x14ac:dyDescent="0.25">
      <c r="A56" s="350" t="s">
        <v>849</v>
      </c>
      <c r="B56" s="351"/>
      <c r="C56" s="351"/>
      <c r="D56" s="351"/>
      <c r="E56" s="6"/>
    </row>
    <row r="57" spans="1:14" x14ac:dyDescent="0.25">
      <c r="A57" s="350" t="s">
        <v>866</v>
      </c>
      <c r="B57" s="351"/>
      <c r="C57" s="351"/>
      <c r="D57" s="351"/>
    </row>
    <row r="60" spans="1:14" x14ac:dyDescent="0.25">
      <c r="A60" s="62"/>
    </row>
    <row r="61" spans="1:14" ht="13" x14ac:dyDescent="0.3">
      <c r="A61" s="2"/>
    </row>
    <row r="63" spans="1:14" x14ac:dyDescent="0.25">
      <c r="A63" s="62"/>
    </row>
  </sheetData>
  <mergeCells count="8">
    <mergeCell ref="A57:D57"/>
    <mergeCell ref="A1:B1"/>
    <mergeCell ref="A55:D55"/>
    <mergeCell ref="A56:D56"/>
    <mergeCell ref="A51:D51"/>
    <mergeCell ref="A50:D50"/>
    <mergeCell ref="A52:D52"/>
    <mergeCell ref="A53:D54"/>
  </mergeCells>
  <pageMargins left="0.7" right="0.7" top="0.75" bottom="0.75" header="0.3" footer="0.3"/>
  <pageSetup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99FF"/>
    <pageSetUpPr fitToPage="1"/>
  </sheetPr>
  <dimension ref="A1:P101"/>
  <sheetViews>
    <sheetView zoomScale="75" zoomScaleNormal="75" workbookViewId="0">
      <pane ySplit="5" topLeftCell="A24" activePane="bottomLeft" state="frozen"/>
      <selection activeCell="C1" sqref="C1"/>
      <selection pane="bottomLeft" activeCell="C90" sqref="C90"/>
    </sheetView>
  </sheetViews>
  <sheetFormatPr defaultRowHeight="12.5" x14ac:dyDescent="0.25"/>
  <cols>
    <col min="1" max="1" width="12.08984375" style="23" customWidth="1"/>
    <col min="2" max="2" width="11.08984375" customWidth="1"/>
    <col min="3" max="3" width="11.6328125" bestFit="1" customWidth="1"/>
    <col min="4" max="4" width="57.1796875" customWidth="1"/>
    <col min="5" max="5" width="14.6328125" bestFit="1" customWidth="1"/>
    <col min="6" max="6" width="14.54296875" bestFit="1" customWidth="1"/>
    <col min="7" max="7" width="9.7265625" style="9" customWidth="1"/>
    <col min="8" max="8" width="14.54296875" bestFit="1" customWidth="1"/>
    <col min="9" max="9" width="13.54296875" style="5" bestFit="1" customWidth="1"/>
    <col min="10" max="10" width="14.54296875" bestFit="1" customWidth="1"/>
    <col min="11" max="11" width="11.1796875" style="250" bestFit="1" customWidth="1"/>
    <col min="12" max="12" width="14.54296875" bestFit="1" customWidth="1"/>
    <col min="13" max="13" width="10.90625" style="259" bestFit="1" customWidth="1"/>
    <col min="14" max="15" width="14.54296875" bestFit="1" customWidth="1"/>
    <col min="17" max="17" width="17.453125" bestFit="1" customWidth="1"/>
    <col min="18" max="18" width="14" bestFit="1" customWidth="1"/>
  </cols>
  <sheetData>
    <row r="1" spans="1:16" s="46" customFormat="1" ht="23" x14ac:dyDescent="0.5">
      <c r="A1" s="45" t="s">
        <v>808</v>
      </c>
      <c r="B1" s="148"/>
      <c r="C1" s="56"/>
      <c r="D1" s="47"/>
      <c r="E1" s="48"/>
      <c r="G1" s="47"/>
      <c r="I1" s="165"/>
      <c r="J1" s="166"/>
      <c r="K1" s="242"/>
      <c r="M1" s="251"/>
    </row>
    <row r="2" spans="1:16" s="170" customFormat="1" ht="18" x14ac:dyDescent="0.4">
      <c r="A2" s="85" t="s">
        <v>809</v>
      </c>
      <c r="B2" s="167"/>
      <c r="C2" s="168"/>
      <c r="D2" s="169"/>
      <c r="E2" s="169"/>
      <c r="G2" s="171"/>
      <c r="I2" s="172"/>
      <c r="J2" s="173"/>
      <c r="K2" s="243"/>
      <c r="M2" s="252"/>
    </row>
    <row r="3" spans="1:16" s="170" customFormat="1" ht="18" x14ac:dyDescent="0.4">
      <c r="A3" s="3" t="s">
        <v>850</v>
      </c>
      <c r="B3" s="174"/>
      <c r="C3" s="175"/>
      <c r="D3" s="171"/>
      <c r="E3" s="176"/>
      <c r="G3" s="171"/>
      <c r="I3" s="79">
        <f>'Financial Assumptions'!H4</f>
        <v>1.77E-2</v>
      </c>
      <c r="J3" s="173"/>
      <c r="K3" s="243"/>
      <c r="M3" s="241">
        <f>'Population Projections'!C36</f>
        <v>0.23407892834770871</v>
      </c>
    </row>
    <row r="4" spans="1:16" s="14" customFormat="1" ht="12.75" customHeight="1" x14ac:dyDescent="0.3">
      <c r="A4" s="7"/>
      <c r="B4" s="74"/>
      <c r="C4" s="74"/>
      <c r="D4" s="74"/>
      <c r="E4" s="74"/>
      <c r="F4" s="7" t="s">
        <v>7</v>
      </c>
      <c r="G4" s="29" t="s">
        <v>10</v>
      </c>
      <c r="H4" s="7" t="s">
        <v>8</v>
      </c>
      <c r="I4" s="64" t="s">
        <v>313</v>
      </c>
      <c r="J4" s="7" t="s">
        <v>7</v>
      </c>
      <c r="K4" s="244" t="s">
        <v>744</v>
      </c>
      <c r="L4" s="7" t="s">
        <v>436</v>
      </c>
      <c r="M4" s="253" t="s">
        <v>438</v>
      </c>
      <c r="N4" s="7" t="s">
        <v>438</v>
      </c>
      <c r="O4" s="7" t="s">
        <v>11</v>
      </c>
    </row>
    <row r="5" spans="1:16" s="15" customFormat="1" ht="12.75" customHeight="1" x14ac:dyDescent="0.3">
      <c r="A5" s="16" t="s">
        <v>26</v>
      </c>
      <c r="B5" s="15" t="s">
        <v>5</v>
      </c>
      <c r="C5" s="16" t="s">
        <v>26</v>
      </c>
      <c r="D5" s="15" t="s">
        <v>0</v>
      </c>
      <c r="E5" s="139" t="s">
        <v>316</v>
      </c>
      <c r="F5" s="16" t="s">
        <v>9</v>
      </c>
      <c r="G5" s="38" t="s">
        <v>2</v>
      </c>
      <c r="H5" s="16" t="s">
        <v>9</v>
      </c>
      <c r="I5" s="138" t="s">
        <v>12</v>
      </c>
      <c r="J5" s="16" t="s">
        <v>314</v>
      </c>
      <c r="K5" s="245" t="s">
        <v>745</v>
      </c>
      <c r="L5" s="108" t="s">
        <v>437</v>
      </c>
      <c r="M5" s="254" t="s">
        <v>439</v>
      </c>
      <c r="N5" s="108" t="s">
        <v>440</v>
      </c>
      <c r="O5" s="16" t="s">
        <v>9</v>
      </c>
    </row>
    <row r="6" spans="1:16" s="14" customFormat="1" ht="13" x14ac:dyDescent="0.3">
      <c r="A6" s="7"/>
      <c r="I6" s="74"/>
      <c r="K6" s="246"/>
      <c r="M6" s="253"/>
    </row>
    <row r="7" spans="1:16" s="74" customFormat="1" ht="13" x14ac:dyDescent="0.3">
      <c r="A7" s="64"/>
      <c r="B7" s="65">
        <v>2014</v>
      </c>
      <c r="C7" s="65"/>
      <c r="D7" s="63"/>
      <c r="E7" s="63"/>
      <c r="F7" s="67">
        <v>0</v>
      </c>
      <c r="G7" s="68">
        <f>VLOOKUP(B7,'Escalation Factors'!$A$6:$B$44,2,FALSE)</f>
        <v>1</v>
      </c>
      <c r="H7" s="67">
        <f>F7*G7</f>
        <v>0</v>
      </c>
      <c r="I7" s="66">
        <v>0</v>
      </c>
      <c r="J7" s="67">
        <f>H7+I7</f>
        <v>0</v>
      </c>
      <c r="K7" s="241">
        <v>0</v>
      </c>
      <c r="L7" s="67">
        <f>J7*K7</f>
        <v>0</v>
      </c>
      <c r="M7" s="255"/>
      <c r="N7" s="67">
        <v>0</v>
      </c>
      <c r="O7" s="67">
        <f>J7-L7-N7</f>
        <v>0</v>
      </c>
      <c r="P7" s="65"/>
    </row>
    <row r="8" spans="1:16" s="74" customFormat="1" ht="13" x14ac:dyDescent="0.3">
      <c r="A8" s="64"/>
      <c r="B8" s="69">
        <v>2014</v>
      </c>
      <c r="C8" s="69"/>
      <c r="D8" s="70"/>
      <c r="E8" s="140" t="s">
        <v>13</v>
      </c>
      <c r="F8" s="71">
        <f>SUBTOTAL(9,F7:F7)</f>
        <v>0</v>
      </c>
      <c r="G8" s="71"/>
      <c r="H8" s="71">
        <f>SUBTOTAL(9,H7:H7)</f>
        <v>0</v>
      </c>
      <c r="I8" s="71">
        <f>SUBTOTAL(9,I7:I7)</f>
        <v>0</v>
      </c>
      <c r="J8" s="71">
        <f>SUBTOTAL(9,J7:J7)</f>
        <v>0</v>
      </c>
      <c r="K8" s="247"/>
      <c r="L8" s="71">
        <f>SUBTOTAL(9,L7:L7)</f>
        <v>0</v>
      </c>
      <c r="M8" s="256"/>
      <c r="N8" s="71">
        <f>SUBTOTAL(9,N7:N7)</f>
        <v>0</v>
      </c>
      <c r="O8" s="71">
        <f>SUBTOTAL(9,O7:O7)</f>
        <v>0</v>
      </c>
      <c r="P8" s="69">
        <v>2014</v>
      </c>
    </row>
    <row r="9" spans="1:16" s="74" customFormat="1" ht="13" x14ac:dyDescent="0.3">
      <c r="A9" s="64"/>
      <c r="B9" s="65">
        <v>2015</v>
      </c>
      <c r="C9" s="65"/>
      <c r="D9" s="63" t="s">
        <v>315</v>
      </c>
      <c r="E9" s="63" t="s">
        <v>23</v>
      </c>
      <c r="F9" s="67">
        <v>6607344.6600000001</v>
      </c>
      <c r="G9" s="68">
        <f>VLOOKUP(B9,'Escalation Factors'!$A$6:$B$44,2,FALSE)</f>
        <v>1</v>
      </c>
      <c r="H9" s="67">
        <f>F9*G9</f>
        <v>6607344.6600000001</v>
      </c>
      <c r="I9" s="66">
        <v>0</v>
      </c>
      <c r="J9" s="67">
        <f>H9+I9</f>
        <v>6607344.6600000001</v>
      </c>
      <c r="K9" s="241">
        <v>0</v>
      </c>
      <c r="L9" s="67">
        <f>J9*K9</f>
        <v>0</v>
      </c>
      <c r="M9" s="255"/>
      <c r="N9" s="67">
        <v>0</v>
      </c>
      <c r="O9" s="67">
        <f>J9-L9</f>
        <v>6607344.6600000001</v>
      </c>
      <c r="P9" s="65"/>
    </row>
    <row r="10" spans="1:16" s="14" customFormat="1" ht="13" x14ac:dyDescent="0.3">
      <c r="A10" s="64"/>
      <c r="B10" s="69">
        <v>2015</v>
      </c>
      <c r="C10" s="69"/>
      <c r="D10" s="70"/>
      <c r="E10" s="140" t="s">
        <v>13</v>
      </c>
      <c r="F10" s="71">
        <f>SUBTOTAL(9,F9:F9)</f>
        <v>6607344.6600000001</v>
      </c>
      <c r="G10" s="71"/>
      <c r="H10" s="71">
        <f t="shared" ref="H10:O10" si="0">SUBTOTAL(9,H9:H9)</f>
        <v>6607344.6600000001</v>
      </c>
      <c r="I10" s="71">
        <f t="shared" si="0"/>
        <v>0</v>
      </c>
      <c r="J10" s="71">
        <f t="shared" si="0"/>
        <v>6607344.6600000001</v>
      </c>
      <c r="K10" s="247"/>
      <c r="L10" s="71">
        <f t="shared" si="0"/>
        <v>0</v>
      </c>
      <c r="M10" s="256"/>
      <c r="N10" s="71">
        <f t="shared" si="0"/>
        <v>0</v>
      </c>
      <c r="O10" s="71">
        <f t="shared" si="0"/>
        <v>6607344.6600000001</v>
      </c>
      <c r="P10" s="69">
        <v>2015</v>
      </c>
    </row>
    <row r="11" spans="1:16" s="74" customFormat="1" ht="13" x14ac:dyDescent="0.3">
      <c r="A11" s="64"/>
      <c r="B11" s="65">
        <v>2016</v>
      </c>
      <c r="C11" s="65"/>
      <c r="D11" s="63"/>
      <c r="E11" s="63"/>
      <c r="F11" s="67">
        <v>0</v>
      </c>
      <c r="G11" s="68">
        <f>VLOOKUP(B11,'Escalation Factors'!$A$6:$B$44,2,FALSE)</f>
        <v>1</v>
      </c>
      <c r="H11" s="67">
        <f>F11*G11</f>
        <v>0</v>
      </c>
      <c r="I11" s="66">
        <v>0</v>
      </c>
      <c r="J11" s="67">
        <f>H11+I11</f>
        <v>0</v>
      </c>
      <c r="K11" s="241">
        <v>0</v>
      </c>
      <c r="L11" s="67">
        <f>J11*K11</f>
        <v>0</v>
      </c>
      <c r="M11" s="255"/>
      <c r="N11" s="67">
        <v>0</v>
      </c>
      <c r="O11" s="67">
        <f>J11-L11-N11</f>
        <v>0</v>
      </c>
      <c r="P11" s="65"/>
    </row>
    <row r="12" spans="1:16" s="14" customFormat="1" ht="13" x14ac:dyDescent="0.3">
      <c r="A12" s="64"/>
      <c r="B12" s="69">
        <v>2016</v>
      </c>
      <c r="C12" s="69"/>
      <c r="D12" s="70"/>
      <c r="E12" s="140" t="s">
        <v>13</v>
      </c>
      <c r="F12" s="71">
        <f t="shared" ref="F12" si="1">SUBTOTAL(9,F11:F11)</f>
        <v>0</v>
      </c>
      <c r="G12" s="71"/>
      <c r="H12" s="71">
        <f t="shared" ref="H12:N12" si="2">SUBTOTAL(9,H11:H11)</f>
        <v>0</v>
      </c>
      <c r="I12" s="71">
        <f t="shared" si="2"/>
        <v>0</v>
      </c>
      <c r="J12" s="71">
        <f t="shared" si="2"/>
        <v>0</v>
      </c>
      <c r="K12" s="247"/>
      <c r="L12" s="71">
        <f t="shared" si="2"/>
        <v>0</v>
      </c>
      <c r="M12" s="256"/>
      <c r="N12" s="71">
        <f t="shared" si="2"/>
        <v>0</v>
      </c>
      <c r="O12" s="71">
        <f>SUBTOTAL(9,O11:O11)</f>
        <v>0</v>
      </c>
      <c r="P12" s="69">
        <v>2016</v>
      </c>
    </row>
    <row r="13" spans="1:16" s="74" customFormat="1" ht="13" x14ac:dyDescent="0.3">
      <c r="A13" s="64"/>
      <c r="B13" s="65">
        <v>2017</v>
      </c>
      <c r="C13" s="65"/>
      <c r="D13" s="63"/>
      <c r="E13" s="63"/>
      <c r="F13" s="67">
        <v>0</v>
      </c>
      <c r="G13" s="68">
        <f>VLOOKUP(B13,'Escalation Factors'!$A$6:$B$44,2,FALSE)</f>
        <v>1</v>
      </c>
      <c r="H13" s="67">
        <f t="shared" ref="H13" si="3">F13*G13</f>
        <v>0</v>
      </c>
      <c r="I13" s="66">
        <v>0</v>
      </c>
      <c r="J13" s="67">
        <f>H13+I13</f>
        <v>0</v>
      </c>
      <c r="K13" s="241">
        <v>0</v>
      </c>
      <c r="L13" s="67">
        <f t="shared" ref="L13" si="4">J13*K13</f>
        <v>0</v>
      </c>
      <c r="M13" s="255"/>
      <c r="N13" s="67">
        <v>0</v>
      </c>
      <c r="O13" s="67">
        <f>J13-L13-N13</f>
        <v>0</v>
      </c>
      <c r="P13" s="65"/>
    </row>
    <row r="14" spans="1:16" s="14" customFormat="1" ht="13" x14ac:dyDescent="0.3">
      <c r="A14" s="64"/>
      <c r="B14" s="69">
        <v>2017</v>
      </c>
      <c r="C14" s="69"/>
      <c r="D14" s="70"/>
      <c r="E14" s="140" t="s">
        <v>13</v>
      </c>
      <c r="F14" s="71">
        <f>SUBTOTAL(9,F13:F13)</f>
        <v>0</v>
      </c>
      <c r="G14" s="71"/>
      <c r="H14" s="71">
        <f>SUBTOTAL(9,H13:H13)</f>
        <v>0</v>
      </c>
      <c r="I14" s="71">
        <f>SUBTOTAL(9,I13:I13)</f>
        <v>0</v>
      </c>
      <c r="J14" s="71">
        <f>SUBTOTAL(9,J13:J13)</f>
        <v>0</v>
      </c>
      <c r="K14" s="247"/>
      <c r="L14" s="71">
        <f>SUBTOTAL(9,L13:L13)</f>
        <v>0</v>
      </c>
      <c r="M14" s="256"/>
      <c r="N14" s="71">
        <f>SUBTOTAL(9,N13:N13)</f>
        <v>0</v>
      </c>
      <c r="O14" s="71">
        <f>SUBTOTAL(9,O13:O13)</f>
        <v>0</v>
      </c>
      <c r="P14" s="69">
        <v>2017</v>
      </c>
    </row>
    <row r="15" spans="1:16" s="74" customFormat="1" ht="13" x14ac:dyDescent="0.3">
      <c r="A15" s="64"/>
      <c r="B15" s="65">
        <v>2018</v>
      </c>
      <c r="C15" s="65"/>
      <c r="D15" s="63" t="s">
        <v>317</v>
      </c>
      <c r="E15" s="63" t="s">
        <v>23</v>
      </c>
      <c r="F15" s="67">
        <v>2646002.2200000002</v>
      </c>
      <c r="G15" s="68">
        <f>VLOOKUP(B15,'Escalation Factors'!$A$6:$B$44,2,FALSE)</f>
        <v>1</v>
      </c>
      <c r="H15" s="67">
        <f>F15*G15</f>
        <v>2646002.2200000002</v>
      </c>
      <c r="I15" s="66">
        <v>0</v>
      </c>
      <c r="J15" s="67">
        <f>H15+I15</f>
        <v>2646002.2200000002</v>
      </c>
      <c r="K15" s="241">
        <v>0</v>
      </c>
      <c r="L15" s="67">
        <f>J15*K15</f>
        <v>0</v>
      </c>
      <c r="M15" s="255"/>
      <c r="N15" s="67">
        <v>0</v>
      </c>
      <c r="O15" s="67">
        <f>J15-L15</f>
        <v>2646002.2200000002</v>
      </c>
      <c r="P15" s="65"/>
    </row>
    <row r="16" spans="1:16" s="14" customFormat="1" ht="13" x14ac:dyDescent="0.3">
      <c r="A16" s="64"/>
      <c r="B16" s="69">
        <v>2018</v>
      </c>
      <c r="C16" s="69"/>
      <c r="D16" s="70"/>
      <c r="E16" s="140" t="s">
        <v>13</v>
      </c>
      <c r="F16" s="71">
        <f>SUBTOTAL(9,F15)</f>
        <v>2646002.2200000002</v>
      </c>
      <c r="G16" s="71"/>
      <c r="H16" s="71">
        <f t="shared" ref="H16:N16" si="5">SUBTOTAL(9,H15)</f>
        <v>2646002.2200000002</v>
      </c>
      <c r="I16" s="71">
        <f t="shared" si="5"/>
        <v>0</v>
      </c>
      <c r="J16" s="71">
        <f t="shared" si="5"/>
        <v>2646002.2200000002</v>
      </c>
      <c r="K16" s="247"/>
      <c r="L16" s="71">
        <f t="shared" si="5"/>
        <v>0</v>
      </c>
      <c r="M16" s="256"/>
      <c r="N16" s="71">
        <f t="shared" si="5"/>
        <v>0</v>
      </c>
      <c r="O16" s="71">
        <f>SUBTOTAL(9,O15)</f>
        <v>2646002.2200000002</v>
      </c>
      <c r="P16" s="69">
        <v>2018</v>
      </c>
    </row>
    <row r="17" spans="1:16" s="14" customFormat="1" ht="13" x14ac:dyDescent="0.3">
      <c r="A17" s="64"/>
      <c r="B17" s="65" t="s">
        <v>823</v>
      </c>
      <c r="C17" s="65" t="s">
        <v>318</v>
      </c>
      <c r="D17" s="63" t="s">
        <v>319</v>
      </c>
      <c r="E17" s="63" t="s">
        <v>320</v>
      </c>
      <c r="F17" s="67">
        <v>9997475.5800000001</v>
      </c>
      <c r="G17" s="68">
        <f>VLOOKUP(B17,'Escalation Factors'!$C$18:$D$44,2,FALSE)</f>
        <v>1.0044808861486327</v>
      </c>
      <c r="H17" s="67">
        <f t="shared" ref="H17" si="6">F17*G17</f>
        <v>10042273.129847717</v>
      </c>
      <c r="I17" s="66">
        <f>H17*$I$3</f>
        <v>177748.2343983046</v>
      </c>
      <c r="J17" s="67">
        <f t="shared" ref="J17" si="7">H17+I17</f>
        <v>10220021.364246022</v>
      </c>
      <c r="K17" s="241">
        <v>0.1</v>
      </c>
      <c r="L17" s="67">
        <f>J17*K17</f>
        <v>1022002.1364246022</v>
      </c>
      <c r="M17" s="255">
        <f>$M$3</f>
        <v>0.23407892834770871</v>
      </c>
      <c r="N17" s="67">
        <f>(J17-L17)*M17</f>
        <v>2153062.4837700571</v>
      </c>
      <c r="O17" s="67">
        <f>J17-L17-N17</f>
        <v>7044956.7440513615</v>
      </c>
      <c r="P17" s="65"/>
    </row>
    <row r="18" spans="1:16" s="14" customFormat="1" ht="13" x14ac:dyDescent="0.3">
      <c r="A18" s="64"/>
      <c r="B18" s="65" t="s">
        <v>823</v>
      </c>
      <c r="C18" s="65" t="s">
        <v>321</v>
      </c>
      <c r="D18" s="63" t="s">
        <v>322</v>
      </c>
      <c r="E18" s="63" t="s">
        <v>323</v>
      </c>
      <c r="F18" s="67">
        <v>1842000</v>
      </c>
      <c r="G18" s="68">
        <f>VLOOKUP(B18,'Escalation Factors'!$C$18:$D$44,2,FALSE)</f>
        <v>1.0044808861486327</v>
      </c>
      <c r="H18" s="67">
        <f t="shared" ref="H18:H34" si="8">F18*G18</f>
        <v>1850253.7922857816</v>
      </c>
      <c r="I18" s="66">
        <f t="shared" ref="I18:I71" si="9">H18*$I$3</f>
        <v>32749.492123458334</v>
      </c>
      <c r="J18" s="67">
        <f t="shared" ref="J18:J34" si="10">H18+I18</f>
        <v>1883003.2844092399</v>
      </c>
      <c r="K18" s="241">
        <v>0.25</v>
      </c>
      <c r="L18" s="67">
        <f t="shared" ref="L18:L34" si="11">J18*K18</f>
        <v>470750.82110230997</v>
      </c>
      <c r="M18" s="255">
        <f t="shared" ref="M18:M70" si="12">$M$3</f>
        <v>0.23407892834770871</v>
      </c>
      <c r="N18" s="67">
        <f t="shared" ref="N18:N34" si="13">(J18-L18)*M18</f>
        <v>330578.54316729796</v>
      </c>
      <c r="O18" s="67">
        <f t="shared" ref="O18:O71" si="14">J18-L18-N18</f>
        <v>1081673.920139632</v>
      </c>
      <c r="P18" s="65"/>
    </row>
    <row r="19" spans="1:16" s="14" customFormat="1" ht="13" x14ac:dyDescent="0.3">
      <c r="A19" s="64"/>
      <c r="B19" s="65" t="s">
        <v>823</v>
      </c>
      <c r="C19" s="65" t="s">
        <v>324</v>
      </c>
      <c r="D19" s="63" t="s">
        <v>325</v>
      </c>
      <c r="E19" s="63" t="s">
        <v>323</v>
      </c>
      <c r="F19" s="67">
        <v>3860000</v>
      </c>
      <c r="G19" s="68">
        <f>VLOOKUP(B19,'Escalation Factors'!$C$18:$D$44,2,FALSE)</f>
        <v>1.0044808861486327</v>
      </c>
      <c r="H19" s="67">
        <f t="shared" si="8"/>
        <v>3877296.2205337225</v>
      </c>
      <c r="I19" s="66">
        <f t="shared" si="9"/>
        <v>68628.143103446884</v>
      </c>
      <c r="J19" s="67">
        <f t="shared" si="10"/>
        <v>3945924.3636371694</v>
      </c>
      <c r="K19" s="241">
        <v>0.25</v>
      </c>
      <c r="L19" s="67">
        <f t="shared" si="11"/>
        <v>986481.09090929234</v>
      </c>
      <c r="M19" s="255">
        <f t="shared" si="12"/>
        <v>0.23407892834770871</v>
      </c>
      <c r="N19" s="67">
        <f t="shared" si="13"/>
        <v>692743.30978597724</v>
      </c>
      <c r="O19" s="67">
        <f t="shared" si="14"/>
        <v>2266699.9629418999</v>
      </c>
      <c r="P19" s="65"/>
    </row>
    <row r="20" spans="1:16" s="14" customFormat="1" ht="13" x14ac:dyDescent="0.3">
      <c r="A20" s="64"/>
      <c r="B20" s="65" t="s">
        <v>823</v>
      </c>
      <c r="C20" s="65" t="s">
        <v>326</v>
      </c>
      <c r="D20" s="63" t="s">
        <v>327</v>
      </c>
      <c r="E20" s="63" t="s">
        <v>323</v>
      </c>
      <c r="F20" s="67">
        <v>252000</v>
      </c>
      <c r="G20" s="68">
        <f>VLOOKUP(B20,'Escalation Factors'!$C$18:$D$44,2,FALSE)</f>
        <v>1.0044808861486327</v>
      </c>
      <c r="H20" s="67">
        <f t="shared" si="8"/>
        <v>253129.18330945546</v>
      </c>
      <c r="I20" s="66">
        <f t="shared" si="9"/>
        <v>4480.3865445773617</v>
      </c>
      <c r="J20" s="67">
        <f t="shared" si="10"/>
        <v>257609.56985403283</v>
      </c>
      <c r="K20" s="241">
        <v>0.9</v>
      </c>
      <c r="L20" s="67">
        <f t="shared" si="11"/>
        <v>231848.61286862954</v>
      </c>
      <c r="M20" s="255">
        <f t="shared" si="12"/>
        <v>0.23407892834770871</v>
      </c>
      <c r="N20" s="67">
        <f t="shared" si="13"/>
        <v>6030.0972043546226</v>
      </c>
      <c r="O20" s="67">
        <f t="shared" si="14"/>
        <v>19730.859781048668</v>
      </c>
      <c r="P20" s="65"/>
    </row>
    <row r="21" spans="1:16" s="14" customFormat="1" ht="13" x14ac:dyDescent="0.3">
      <c r="A21" s="64"/>
      <c r="B21" s="65" t="s">
        <v>823</v>
      </c>
      <c r="C21" s="65" t="s">
        <v>747</v>
      </c>
      <c r="D21" s="63" t="s">
        <v>748</v>
      </c>
      <c r="E21" s="63" t="s">
        <v>323</v>
      </c>
      <c r="F21" s="67">
        <v>555000</v>
      </c>
      <c r="G21" s="68">
        <f>VLOOKUP(B21,'Escalation Factors'!$C$18:$D$44,2,FALSE)</f>
        <v>1.0044808861486327</v>
      </c>
      <c r="H21" s="67">
        <f t="shared" ref="H21" si="15">F21*G21</f>
        <v>557486.89181249111</v>
      </c>
      <c r="I21" s="66">
        <f t="shared" ref="I21" si="16">H21*$I$3</f>
        <v>9867.5179850810928</v>
      </c>
      <c r="J21" s="67">
        <f t="shared" ref="J21" si="17">H21+I21</f>
        <v>567354.40979757218</v>
      </c>
      <c r="K21" s="241">
        <v>1</v>
      </c>
      <c r="L21" s="67">
        <f t="shared" ref="L21" si="18">J21*K21</f>
        <v>567354.40979757218</v>
      </c>
      <c r="M21" s="255">
        <f t="shared" si="12"/>
        <v>0.23407892834770871</v>
      </c>
      <c r="N21" s="67">
        <f t="shared" ref="N21" si="19">(J21-L21)*M21</f>
        <v>0</v>
      </c>
      <c r="O21" s="67">
        <f t="shared" ref="O21" si="20">J21-L21-N21</f>
        <v>0</v>
      </c>
      <c r="P21" s="65"/>
    </row>
    <row r="22" spans="1:16" s="14" customFormat="1" ht="13" x14ac:dyDescent="0.3">
      <c r="A22" s="64"/>
      <c r="B22" s="65" t="s">
        <v>823</v>
      </c>
      <c r="C22" s="65" t="s">
        <v>328</v>
      </c>
      <c r="D22" s="63" t="s">
        <v>329</v>
      </c>
      <c r="E22" s="63" t="s">
        <v>330</v>
      </c>
      <c r="F22" s="67">
        <v>1570040.0049999999</v>
      </c>
      <c r="G22" s="68">
        <f>VLOOKUP(B22,'Escalation Factors'!$C$18:$D$44,2,FALSE)</f>
        <v>1.0044808861486327</v>
      </c>
      <c r="H22" s="67">
        <f t="shared" si="8"/>
        <v>1577075.1755112037</v>
      </c>
      <c r="I22" s="66">
        <f t="shared" si="9"/>
        <v>27914.230606548306</v>
      </c>
      <c r="J22" s="67">
        <f t="shared" si="10"/>
        <v>1604989.406117752</v>
      </c>
      <c r="K22" s="241">
        <v>0.05</v>
      </c>
      <c r="L22" s="67">
        <f t="shared" si="11"/>
        <v>80249.470305887604</v>
      </c>
      <c r="M22" s="255">
        <f t="shared" si="12"/>
        <v>0.23407892834770871</v>
      </c>
      <c r="N22" s="67">
        <f t="shared" si="13"/>
        <v>356909.49018379539</v>
      </c>
      <c r="O22" s="67">
        <f t="shared" si="14"/>
        <v>1167830.4456280691</v>
      </c>
      <c r="P22" s="65"/>
    </row>
    <row r="23" spans="1:16" s="14" customFormat="1" ht="13" x14ac:dyDescent="0.3">
      <c r="A23" s="64"/>
      <c r="B23" s="65" t="s">
        <v>823</v>
      </c>
      <c r="C23" s="65" t="s">
        <v>331</v>
      </c>
      <c r="D23" s="63" t="s">
        <v>332</v>
      </c>
      <c r="E23" s="63" t="s">
        <v>330</v>
      </c>
      <c r="F23" s="67">
        <v>2479703.6349999998</v>
      </c>
      <c r="G23" s="68">
        <f>VLOOKUP(B23,'Escalation Factors'!$C$18:$D$44,2,FALSE)</f>
        <v>1.0044808861486327</v>
      </c>
      <c r="H23" s="67">
        <f t="shared" si="8"/>
        <v>2490814.9046707856</v>
      </c>
      <c r="I23" s="66">
        <f t="shared" si="9"/>
        <v>44087.423812672911</v>
      </c>
      <c r="J23" s="67">
        <f t="shared" si="10"/>
        <v>2534902.3284834586</v>
      </c>
      <c r="K23" s="241">
        <v>0.05</v>
      </c>
      <c r="L23" s="67">
        <f t="shared" si="11"/>
        <v>126745.11642417294</v>
      </c>
      <c r="M23" s="255">
        <f t="shared" si="12"/>
        <v>0.23407892834770871</v>
      </c>
      <c r="N23" s="67">
        <f t="shared" si="13"/>
        <v>563698.8594916435</v>
      </c>
      <c r="O23" s="67">
        <f t="shared" si="14"/>
        <v>1844458.352567642</v>
      </c>
      <c r="P23" s="65"/>
    </row>
    <row r="24" spans="1:16" s="14" customFormat="1" ht="13" x14ac:dyDescent="0.3">
      <c r="A24" s="64"/>
      <c r="B24" s="65" t="s">
        <v>823</v>
      </c>
      <c r="C24" s="65" t="s">
        <v>335</v>
      </c>
      <c r="D24" s="63" t="s">
        <v>336</v>
      </c>
      <c r="E24" s="63" t="s">
        <v>33</v>
      </c>
      <c r="F24" s="67">
        <v>9288248</v>
      </c>
      <c r="G24" s="68">
        <f>VLOOKUP(B24,'Escalation Factors'!$C$18:$D$44,2,FALSE)</f>
        <v>1.0044808861486327</v>
      </c>
      <c r="H24" s="67">
        <f t="shared" si="8"/>
        <v>9329867.5818082653</v>
      </c>
      <c r="I24" s="66">
        <f t="shared" si="9"/>
        <v>165138.6561980063</v>
      </c>
      <c r="J24" s="67">
        <f t="shared" si="10"/>
        <v>9495006.2380062714</v>
      </c>
      <c r="K24" s="241">
        <v>0.05</v>
      </c>
      <c r="L24" s="67">
        <f t="shared" si="11"/>
        <v>474750.31190031359</v>
      </c>
      <c r="M24" s="255">
        <f t="shared" si="12"/>
        <v>0.23407892834770871</v>
      </c>
      <c r="N24" s="67">
        <f t="shared" si="13"/>
        <v>2111451.8406049511</v>
      </c>
      <c r="O24" s="67">
        <f t="shared" si="14"/>
        <v>6908804.0855010059</v>
      </c>
      <c r="P24" s="65"/>
    </row>
    <row r="25" spans="1:16" s="14" customFormat="1" ht="13" x14ac:dyDescent="0.3">
      <c r="A25" s="64"/>
      <c r="B25" s="65" t="s">
        <v>823</v>
      </c>
      <c r="C25" s="65" t="s">
        <v>337</v>
      </c>
      <c r="D25" s="63" t="s">
        <v>338</v>
      </c>
      <c r="E25" s="63" t="s">
        <v>23</v>
      </c>
      <c r="F25" s="67">
        <v>7281000</v>
      </c>
      <c r="G25" s="68">
        <f>VLOOKUP(B25,'Escalation Factors'!$C$18:$D$44,2,FALSE)</f>
        <v>1.0044808861486327</v>
      </c>
      <c r="H25" s="67">
        <f t="shared" si="8"/>
        <v>7313625.3320481945</v>
      </c>
      <c r="I25" s="66">
        <f t="shared" si="9"/>
        <v>129451.16837725305</v>
      </c>
      <c r="J25" s="67">
        <f t="shared" si="10"/>
        <v>7443076.5004254477</v>
      </c>
      <c r="K25" s="241">
        <v>0.5</v>
      </c>
      <c r="L25" s="67">
        <f t="shared" si="11"/>
        <v>3721538.2502127239</v>
      </c>
      <c r="M25" s="255">
        <f t="shared" si="12"/>
        <v>0.23407892834770871</v>
      </c>
      <c r="N25" s="67">
        <f t="shared" si="13"/>
        <v>871133.68541480147</v>
      </c>
      <c r="O25" s="67">
        <f t="shared" si="14"/>
        <v>2850404.5647979225</v>
      </c>
      <c r="P25" s="65"/>
    </row>
    <row r="26" spans="1:16" s="14" customFormat="1" ht="13" x14ac:dyDescent="0.3">
      <c r="A26" s="64"/>
      <c r="B26" s="65" t="s">
        <v>823</v>
      </c>
      <c r="C26" s="65" t="s">
        <v>339</v>
      </c>
      <c r="D26" s="63" t="s">
        <v>340</v>
      </c>
      <c r="E26" s="63" t="s">
        <v>23</v>
      </c>
      <c r="F26" s="67">
        <v>21879000</v>
      </c>
      <c r="G26" s="68">
        <f>VLOOKUP(B26,'Escalation Factors'!$C$18:$D$44,2,FALSE)</f>
        <v>1.0044808861486327</v>
      </c>
      <c r="H26" s="67">
        <f t="shared" si="8"/>
        <v>21977037.308045935</v>
      </c>
      <c r="I26" s="66">
        <f t="shared" si="9"/>
        <v>388993.56035241304</v>
      </c>
      <c r="J26" s="67">
        <f t="shared" si="10"/>
        <v>22366030.86839835</v>
      </c>
      <c r="K26" s="241">
        <v>0.25</v>
      </c>
      <c r="L26" s="67">
        <f t="shared" si="11"/>
        <v>5591507.7170995874</v>
      </c>
      <c r="M26" s="255">
        <f t="shared" si="12"/>
        <v>0.23407892834770871</v>
      </c>
      <c r="N26" s="67">
        <f t="shared" si="13"/>
        <v>3926562.4027998438</v>
      </c>
      <c r="O26" s="67">
        <f t="shared" si="14"/>
        <v>12847960.748498917</v>
      </c>
      <c r="P26" s="65"/>
    </row>
    <row r="27" spans="1:16" s="14" customFormat="1" ht="13" x14ac:dyDescent="0.3">
      <c r="A27" s="64"/>
      <c r="B27" s="65" t="s">
        <v>823</v>
      </c>
      <c r="C27" s="65" t="s">
        <v>341</v>
      </c>
      <c r="D27" s="63" t="s">
        <v>342</v>
      </c>
      <c r="E27" s="63" t="s">
        <v>23</v>
      </c>
      <c r="F27" s="67">
        <v>14752000</v>
      </c>
      <c r="G27" s="68">
        <f>VLOOKUP(B27,'Escalation Factors'!$C$18:$D$44,2,FALSE)</f>
        <v>1.0044808861486327</v>
      </c>
      <c r="H27" s="67">
        <f t="shared" si="8"/>
        <v>14818102.032464631</v>
      </c>
      <c r="I27" s="66">
        <f t="shared" si="9"/>
        <v>262280.40597462398</v>
      </c>
      <c r="J27" s="67">
        <f t="shared" si="10"/>
        <v>15080382.438439256</v>
      </c>
      <c r="K27" s="241">
        <v>0.05</v>
      </c>
      <c r="L27" s="67">
        <f t="shared" si="11"/>
        <v>754019.12192196283</v>
      </c>
      <c r="M27" s="255">
        <f t="shared" si="12"/>
        <v>0.23407892834770871</v>
      </c>
      <c r="N27" s="67">
        <f t="shared" si="13"/>
        <v>3353499.7722502942</v>
      </c>
      <c r="O27" s="67">
        <f t="shared" si="14"/>
        <v>10972863.544266999</v>
      </c>
      <c r="P27" s="65"/>
    </row>
    <row r="28" spans="1:16" s="14" customFormat="1" ht="13" x14ac:dyDescent="0.3">
      <c r="A28" s="64"/>
      <c r="B28" s="65" t="s">
        <v>823</v>
      </c>
      <c r="C28" s="65" t="s">
        <v>343</v>
      </c>
      <c r="D28" s="63" t="s">
        <v>344</v>
      </c>
      <c r="E28" s="63" t="s">
        <v>23</v>
      </c>
      <c r="F28" s="67">
        <v>221000</v>
      </c>
      <c r="G28" s="68">
        <f>VLOOKUP(B28,'Escalation Factors'!$C$18:$D$44,2,FALSE)</f>
        <v>1.0044808861486327</v>
      </c>
      <c r="H28" s="67">
        <f t="shared" si="8"/>
        <v>221990.27583884783</v>
      </c>
      <c r="I28" s="66">
        <f t="shared" si="9"/>
        <v>3929.2278823476067</v>
      </c>
      <c r="J28" s="67">
        <f t="shared" si="10"/>
        <v>225919.50372119542</v>
      </c>
      <c r="K28" s="241">
        <v>1</v>
      </c>
      <c r="L28" s="67">
        <f t="shared" si="11"/>
        <v>225919.50372119542</v>
      </c>
      <c r="M28" s="255">
        <v>0</v>
      </c>
      <c r="N28" s="67">
        <f t="shared" si="13"/>
        <v>0</v>
      </c>
      <c r="O28" s="67">
        <f t="shared" si="14"/>
        <v>0</v>
      </c>
      <c r="P28" s="65"/>
    </row>
    <row r="29" spans="1:16" s="14" customFormat="1" ht="13" x14ac:dyDescent="0.3">
      <c r="A29" s="64"/>
      <c r="B29" s="65" t="s">
        <v>823</v>
      </c>
      <c r="C29" s="65" t="s">
        <v>345</v>
      </c>
      <c r="D29" s="63" t="s">
        <v>751</v>
      </c>
      <c r="E29" s="63" t="s">
        <v>23</v>
      </c>
      <c r="F29" s="67">
        <v>3850000</v>
      </c>
      <c r="G29" s="68">
        <f>VLOOKUP(B29,'Escalation Factors'!$C$18:$D$44,2,FALSE)</f>
        <v>1.0044808861486327</v>
      </c>
      <c r="H29" s="67">
        <f t="shared" si="8"/>
        <v>3867251.4116722359</v>
      </c>
      <c r="I29" s="66">
        <f t="shared" si="9"/>
        <v>68450.34998659858</v>
      </c>
      <c r="J29" s="67">
        <f t="shared" si="10"/>
        <v>3935701.7616588343</v>
      </c>
      <c r="K29" s="241">
        <v>0.5</v>
      </c>
      <c r="L29" s="67">
        <f t="shared" si="11"/>
        <v>1967850.8808294171</v>
      </c>
      <c r="M29" s="255">
        <f t="shared" si="12"/>
        <v>0.23407892834770871</v>
      </c>
      <c r="N29" s="67">
        <f t="shared" si="13"/>
        <v>460632.42533264461</v>
      </c>
      <c r="O29" s="67">
        <f t="shared" si="14"/>
        <v>1507218.4554967727</v>
      </c>
      <c r="P29" s="65"/>
    </row>
    <row r="30" spans="1:16" s="14" customFormat="1" ht="13" x14ac:dyDescent="0.3">
      <c r="A30" s="64"/>
      <c r="B30" s="65" t="s">
        <v>823</v>
      </c>
      <c r="C30" s="65" t="s">
        <v>346</v>
      </c>
      <c r="D30" s="63" t="s">
        <v>347</v>
      </c>
      <c r="E30" s="63" t="s">
        <v>23</v>
      </c>
      <c r="F30" s="67">
        <v>15491588.819024991</v>
      </c>
      <c r="G30" s="68">
        <f>VLOOKUP(B30,'Escalation Factors'!$C$18:$D$44,2,FALSE)</f>
        <v>1.0044808861486327</v>
      </c>
      <c r="H30" s="67">
        <f t="shared" si="8"/>
        <v>15561004.864784474</v>
      </c>
      <c r="I30" s="66">
        <f t="shared" si="9"/>
        <v>275429.78610668518</v>
      </c>
      <c r="J30" s="67">
        <f t="shared" si="10"/>
        <v>15836434.650891159</v>
      </c>
      <c r="K30" s="241">
        <v>0.05</v>
      </c>
      <c r="L30" s="67">
        <f t="shared" si="11"/>
        <v>791821.73254455801</v>
      </c>
      <c r="M30" s="255">
        <f t="shared" si="12"/>
        <v>0.23407892834770871</v>
      </c>
      <c r="N30" s="67">
        <f t="shared" si="13"/>
        <v>3521626.869332667</v>
      </c>
      <c r="O30" s="67">
        <f t="shared" si="14"/>
        <v>11522986.049013933</v>
      </c>
      <c r="P30" s="65"/>
    </row>
    <row r="31" spans="1:16" s="14" customFormat="1" ht="13" x14ac:dyDescent="0.3">
      <c r="A31" s="64"/>
      <c r="B31" s="65" t="s">
        <v>823</v>
      </c>
      <c r="C31" s="65" t="s">
        <v>434</v>
      </c>
      <c r="D31" s="63" t="s">
        <v>349</v>
      </c>
      <c r="E31" s="63" t="s">
        <v>23</v>
      </c>
      <c r="F31" s="67">
        <v>19781000</v>
      </c>
      <c r="G31" s="68">
        <f>VLOOKUP(B31,'Escalation Factors'!$C$18:$D$44,2,FALSE)</f>
        <v>1.0044808861486327</v>
      </c>
      <c r="H31" s="67">
        <f t="shared" si="8"/>
        <v>19869636.408906106</v>
      </c>
      <c r="I31" s="66">
        <f t="shared" si="9"/>
        <v>351692.5644376381</v>
      </c>
      <c r="J31" s="67">
        <f t="shared" si="10"/>
        <v>20221328.973343745</v>
      </c>
      <c r="K31" s="241">
        <v>0.25</v>
      </c>
      <c r="L31" s="67">
        <f t="shared" si="11"/>
        <v>5055332.2433359362</v>
      </c>
      <c r="M31" s="255">
        <f t="shared" si="12"/>
        <v>0.23407892834770871</v>
      </c>
      <c r="N31" s="67">
        <f t="shared" si="13"/>
        <v>3550040.2618850823</v>
      </c>
      <c r="O31" s="67">
        <f t="shared" si="14"/>
        <v>11615956.468122726</v>
      </c>
      <c r="P31" s="65"/>
    </row>
    <row r="32" spans="1:16" s="14" customFormat="1" ht="13" x14ac:dyDescent="0.3">
      <c r="A32" s="64"/>
      <c r="B32" s="65" t="s">
        <v>823</v>
      </c>
      <c r="C32" s="65" t="s">
        <v>730</v>
      </c>
      <c r="D32" s="63" t="s">
        <v>752</v>
      </c>
      <c r="E32" s="63" t="s">
        <v>350</v>
      </c>
      <c r="F32" s="67">
        <v>25864000</v>
      </c>
      <c r="G32" s="68">
        <f>VLOOKUP(B32,'Escalation Factors'!$C$18:$D$44,2,FALSE)</f>
        <v>1.0044808861486327</v>
      </c>
      <c r="H32" s="67">
        <f t="shared" ref="H32:H33" si="21">F32*G32</f>
        <v>25979893.639348239</v>
      </c>
      <c r="I32" s="66">
        <f t="shared" ref="I32:I33" si="22">H32*$I$3</f>
        <v>459844.11741646385</v>
      </c>
      <c r="J32" s="67">
        <f t="shared" ref="J32:J33" si="23">H32+I32</f>
        <v>26439737.756764702</v>
      </c>
      <c r="K32" s="241">
        <v>0.05</v>
      </c>
      <c r="L32" s="67">
        <f t="shared" ref="L32:L33" si="24">J32*K32</f>
        <v>1321986.8878382351</v>
      </c>
      <c r="M32" s="255">
        <f t="shared" si="12"/>
        <v>0.23407892834770871</v>
      </c>
      <c r="N32" s="67">
        <f t="shared" ref="N32:N33" si="25">(J32-L32)*M32</f>
        <v>5879536.2059030365</v>
      </c>
      <c r="O32" s="67">
        <f t="shared" ref="O32:O33" si="26">J32-L32-N32</f>
        <v>19238214.663023427</v>
      </c>
      <c r="P32" s="65"/>
    </row>
    <row r="33" spans="1:16" s="14" customFormat="1" ht="13" x14ac:dyDescent="0.3">
      <c r="A33" s="64"/>
      <c r="B33" s="65" t="s">
        <v>823</v>
      </c>
      <c r="C33" s="65" t="s">
        <v>738</v>
      </c>
      <c r="D33" s="63" t="s">
        <v>740</v>
      </c>
      <c r="E33" s="63" t="s">
        <v>23</v>
      </c>
      <c r="F33" s="67">
        <v>965000</v>
      </c>
      <c r="G33" s="68">
        <f>VLOOKUP(B33,'Escalation Factors'!$C$18:$D$44,2,FALSE)</f>
        <v>1.0044808861486327</v>
      </c>
      <c r="H33" s="67">
        <f t="shared" si="21"/>
        <v>969324.05513343064</v>
      </c>
      <c r="I33" s="66">
        <f t="shared" si="22"/>
        <v>17157.035775861721</v>
      </c>
      <c r="J33" s="67">
        <f t="shared" si="23"/>
        <v>986481.09090929234</v>
      </c>
      <c r="K33" s="241">
        <v>0.9</v>
      </c>
      <c r="L33" s="67">
        <f t="shared" si="24"/>
        <v>887832.98181836307</v>
      </c>
      <c r="M33" s="255">
        <f t="shared" si="12"/>
        <v>0.23407892834770871</v>
      </c>
      <c r="N33" s="67">
        <f t="shared" si="25"/>
        <v>23091.443659532586</v>
      </c>
      <c r="O33" s="67">
        <f t="shared" si="26"/>
        <v>75556.665431396686</v>
      </c>
      <c r="P33" s="65"/>
    </row>
    <row r="34" spans="1:16" s="14" customFormat="1" ht="13" x14ac:dyDescent="0.3">
      <c r="A34" s="64"/>
      <c r="B34" s="65" t="s">
        <v>823</v>
      </c>
      <c r="C34" s="65" t="s">
        <v>739</v>
      </c>
      <c r="D34" s="63" t="s">
        <v>741</v>
      </c>
      <c r="E34" s="63" t="s">
        <v>23</v>
      </c>
      <c r="F34" s="67">
        <v>415000</v>
      </c>
      <c r="G34" s="68">
        <f>VLOOKUP(B34,'Escalation Factors'!$C$18:$D$44,2,FALSE)</f>
        <v>1.0044808861486327</v>
      </c>
      <c r="H34" s="67">
        <f t="shared" si="8"/>
        <v>416859.5677516826</v>
      </c>
      <c r="I34" s="66">
        <f t="shared" si="9"/>
        <v>7378.4143492047824</v>
      </c>
      <c r="J34" s="67">
        <f t="shared" si="10"/>
        <v>424237.9821008874</v>
      </c>
      <c r="K34" s="241">
        <v>1</v>
      </c>
      <c r="L34" s="67">
        <f t="shared" si="11"/>
        <v>424237.9821008874</v>
      </c>
      <c r="M34" s="255">
        <f t="shared" si="12"/>
        <v>0.23407892834770871</v>
      </c>
      <c r="N34" s="67">
        <f t="shared" si="13"/>
        <v>0</v>
      </c>
      <c r="O34" s="67">
        <f t="shared" si="14"/>
        <v>0</v>
      </c>
      <c r="P34" s="65"/>
    </row>
    <row r="35" spans="1:16" s="14" customFormat="1" ht="13" x14ac:dyDescent="0.3">
      <c r="A35" s="64"/>
      <c r="B35" s="69" t="s">
        <v>823</v>
      </c>
      <c r="C35" s="69"/>
      <c r="D35" s="70"/>
      <c r="E35" s="140" t="s">
        <v>13</v>
      </c>
      <c r="F35" s="71">
        <f>SUBTOTAL(9,F17:F34)</f>
        <v>140344056.03902501</v>
      </c>
      <c r="G35" s="71"/>
      <c r="H35" s="71">
        <f>SUBTOTAL(9,H17:H34)</f>
        <v>140972921.7757732</v>
      </c>
      <c r="I35" s="71">
        <f>SUBTOTAL(9,I17:I34)</f>
        <v>2495220.7154311854</v>
      </c>
      <c r="J35" s="71">
        <f>SUBTOTAL(9,J17:J34)</f>
        <v>143468142.49120438</v>
      </c>
      <c r="K35" s="247"/>
      <c r="L35" s="71">
        <f>SUBTOTAL(9,L17:L34)</f>
        <v>24702229.271155648</v>
      </c>
      <c r="M35" s="256"/>
      <c r="N35" s="71">
        <f>SUBTOTAL(9,N17:N34)</f>
        <v>27800597.690785978</v>
      </c>
      <c r="O35" s="71">
        <f>SUBTOTAL(9,O17:O34)</f>
        <v>90965315.529262751</v>
      </c>
      <c r="P35" s="69" t="s">
        <v>823</v>
      </c>
    </row>
    <row r="36" spans="1:16" s="14" customFormat="1" ht="13" x14ac:dyDescent="0.3">
      <c r="A36" s="64"/>
      <c r="B36" s="65" t="s">
        <v>309</v>
      </c>
      <c r="C36" s="65" t="s">
        <v>351</v>
      </c>
      <c r="D36" s="63" t="s">
        <v>352</v>
      </c>
      <c r="E36" s="63" t="s">
        <v>323</v>
      </c>
      <c r="F36" s="67">
        <v>2802000</v>
      </c>
      <c r="G36" s="68">
        <f>VLOOKUP(B36,'Escalation Factors'!$C$18:$D$44,2,FALSE)</f>
        <v>1.0932112214252097</v>
      </c>
      <c r="H36" s="67">
        <f>F36*G36</f>
        <v>3063177.8424334372</v>
      </c>
      <c r="I36" s="66">
        <f t="shared" si="9"/>
        <v>54218.247811071844</v>
      </c>
      <c r="J36" s="67">
        <f>H36+I36</f>
        <v>3117396.0902445093</v>
      </c>
      <c r="K36" s="241">
        <v>0.75</v>
      </c>
      <c r="L36" s="67">
        <f t="shared" ref="L36:L37" si="27">J36*K36</f>
        <v>2338047.067683382</v>
      </c>
      <c r="M36" s="255">
        <f t="shared" si="12"/>
        <v>0.23407892834770871</v>
      </c>
      <c r="N36" s="67">
        <f t="shared" ref="N36:N49" si="28">(J36-L36)*M36</f>
        <v>182429.18400994295</v>
      </c>
      <c r="O36" s="67">
        <f t="shared" si="14"/>
        <v>596919.8385511844</v>
      </c>
      <c r="P36" s="65"/>
    </row>
    <row r="37" spans="1:16" s="14" customFormat="1" ht="13" x14ac:dyDescent="0.3">
      <c r="A37" s="64"/>
      <c r="B37" s="65" t="s">
        <v>309</v>
      </c>
      <c r="C37" s="65" t="s">
        <v>333</v>
      </c>
      <c r="D37" s="63" t="s">
        <v>334</v>
      </c>
      <c r="E37" s="63" t="s">
        <v>33</v>
      </c>
      <c r="F37" s="67">
        <v>89256000</v>
      </c>
      <c r="G37" s="68">
        <f>VLOOKUP(B37,'Escalation Factors'!$C$18:$D$44,2,FALSE)</f>
        <v>1.0932112214252097</v>
      </c>
      <c r="H37" s="67">
        <f t="shared" ref="H37" si="29">F37*G37</f>
        <v>97575660.779528514</v>
      </c>
      <c r="I37" s="66">
        <f>H37*$I$3</f>
        <v>1727089.1957976548</v>
      </c>
      <c r="J37" s="67">
        <f t="shared" ref="J37" si="30">H37+I37</f>
        <v>99302749.975326166</v>
      </c>
      <c r="K37" s="241">
        <v>0.5</v>
      </c>
      <c r="L37" s="67">
        <f t="shared" si="27"/>
        <v>49651374.987663083</v>
      </c>
      <c r="M37" s="255">
        <f t="shared" si="12"/>
        <v>0.23407892834770871</v>
      </c>
      <c r="N37" s="67">
        <f t="shared" si="28"/>
        <v>11622340.648102403</v>
      </c>
      <c r="O37" s="67">
        <f t="shared" ref="O37" si="31">J37-L37-N37</f>
        <v>38029034.33956068</v>
      </c>
      <c r="P37" s="65"/>
    </row>
    <row r="38" spans="1:16" s="14" customFormat="1" ht="13" x14ac:dyDescent="0.3">
      <c r="A38" s="64"/>
      <c r="B38" s="65" t="s">
        <v>309</v>
      </c>
      <c r="C38" s="65" t="s">
        <v>353</v>
      </c>
      <c r="D38" s="63" t="s">
        <v>354</v>
      </c>
      <c r="E38" s="63" t="s">
        <v>323</v>
      </c>
      <c r="F38" s="67">
        <v>8111000</v>
      </c>
      <c r="G38" s="68">
        <f>VLOOKUP(B38,'Escalation Factors'!$C$18:$D$44,2,FALSE)</f>
        <v>1.0932112214252097</v>
      </c>
      <c r="H38" s="67">
        <f t="shared" ref="H38:H49" si="32">F38*G38</f>
        <v>8867036.2169798762</v>
      </c>
      <c r="I38" s="66">
        <f t="shared" si="9"/>
        <v>156946.54104054382</v>
      </c>
      <c r="J38" s="67">
        <f t="shared" ref="J38:J49" si="33">H38+I38</f>
        <v>9023982.7580204196</v>
      </c>
      <c r="K38" s="241">
        <v>0.05</v>
      </c>
      <c r="L38" s="67">
        <f t="shared" ref="L38:L49" si="34">J38*K38</f>
        <v>451199.13790102099</v>
      </c>
      <c r="M38" s="255">
        <f t="shared" si="12"/>
        <v>0.23407892834770871</v>
      </c>
      <c r="N38" s="67">
        <f t="shared" si="28"/>
        <v>2006708.0027543395</v>
      </c>
      <c r="O38" s="67">
        <f t="shared" si="14"/>
        <v>6566075.6173650585</v>
      </c>
      <c r="P38" s="65"/>
    </row>
    <row r="39" spans="1:16" s="14" customFormat="1" ht="13" x14ac:dyDescent="0.3">
      <c r="A39" s="64"/>
      <c r="B39" s="65" t="s">
        <v>309</v>
      </c>
      <c r="C39" s="65" t="s">
        <v>355</v>
      </c>
      <c r="D39" s="63" t="s">
        <v>356</v>
      </c>
      <c r="E39" s="63" t="s">
        <v>323</v>
      </c>
      <c r="F39" s="67">
        <v>11361000</v>
      </c>
      <c r="G39" s="68">
        <f>VLOOKUP(B39,'Escalation Factors'!$C$18:$D$44,2,FALSE)</f>
        <v>1.0932112214252097</v>
      </c>
      <c r="H39" s="67">
        <f t="shared" si="32"/>
        <v>12419972.686611807</v>
      </c>
      <c r="I39" s="66">
        <f t="shared" si="9"/>
        <v>219833.51655302898</v>
      </c>
      <c r="J39" s="67">
        <f t="shared" si="33"/>
        <v>12639806.203164836</v>
      </c>
      <c r="K39" s="241">
        <v>1</v>
      </c>
      <c r="L39" s="67">
        <f t="shared" si="34"/>
        <v>12639806.203164836</v>
      </c>
      <c r="M39" s="255">
        <f t="shared" si="12"/>
        <v>0.23407892834770871</v>
      </c>
      <c r="N39" s="67">
        <f t="shared" si="28"/>
        <v>0</v>
      </c>
      <c r="O39" s="67">
        <f t="shared" si="14"/>
        <v>0</v>
      </c>
      <c r="P39" s="65"/>
    </row>
    <row r="40" spans="1:16" s="14" customFormat="1" ht="13" x14ac:dyDescent="0.3">
      <c r="A40" s="64"/>
      <c r="B40" s="65" t="s">
        <v>309</v>
      </c>
      <c r="C40" s="65" t="s">
        <v>357</v>
      </c>
      <c r="D40" s="63" t="s">
        <v>358</v>
      </c>
      <c r="E40" s="63" t="s">
        <v>323</v>
      </c>
      <c r="F40" s="67">
        <v>5941076.4874999998</v>
      </c>
      <c r="G40" s="68">
        <f>VLOOKUP(B40,'Escalation Factors'!$C$18:$D$44,2,FALSE)</f>
        <v>1.0932112214252097</v>
      </c>
      <c r="H40" s="67">
        <f t="shared" si="32"/>
        <v>6494851.4834804693</v>
      </c>
      <c r="I40" s="66">
        <f t="shared" si="9"/>
        <v>114958.8712576043</v>
      </c>
      <c r="J40" s="67">
        <f t="shared" si="33"/>
        <v>6609810.3547380734</v>
      </c>
      <c r="K40" s="241">
        <v>0.25</v>
      </c>
      <c r="L40" s="67">
        <f t="shared" si="34"/>
        <v>1652452.5886845184</v>
      </c>
      <c r="M40" s="255">
        <f t="shared" si="12"/>
        <v>0.23407892834770871</v>
      </c>
      <c r="N40" s="67">
        <f t="shared" si="28"/>
        <v>1160412.9933140075</v>
      </c>
      <c r="O40" s="67">
        <f t="shared" si="14"/>
        <v>3796944.7727395482</v>
      </c>
      <c r="P40" s="65"/>
    </row>
    <row r="41" spans="1:16" s="14" customFormat="1" ht="13" x14ac:dyDescent="0.3">
      <c r="A41" s="64"/>
      <c r="B41" s="65" t="s">
        <v>309</v>
      </c>
      <c r="C41" s="65" t="s">
        <v>359</v>
      </c>
      <c r="D41" s="63" t="s">
        <v>360</v>
      </c>
      <c r="E41" s="63" t="s">
        <v>323</v>
      </c>
      <c r="F41" s="67">
        <v>3831000</v>
      </c>
      <c r="G41" s="68">
        <f>VLOOKUP(B41,'Escalation Factors'!$C$18:$D$44,2,FALSE)</f>
        <v>1.0932112214252097</v>
      </c>
      <c r="H41" s="67">
        <f t="shared" si="32"/>
        <v>4188092.1892799782</v>
      </c>
      <c r="I41" s="66">
        <f t="shared" si="9"/>
        <v>74129.231750255611</v>
      </c>
      <c r="J41" s="67">
        <f t="shared" si="33"/>
        <v>4262221.4210302336</v>
      </c>
      <c r="K41" s="241">
        <v>1</v>
      </c>
      <c r="L41" s="67">
        <f t="shared" si="34"/>
        <v>4262221.4210302336</v>
      </c>
      <c r="M41" s="255">
        <f t="shared" si="12"/>
        <v>0.23407892834770871</v>
      </c>
      <c r="N41" s="67">
        <f t="shared" si="28"/>
        <v>0</v>
      </c>
      <c r="O41" s="67">
        <f t="shared" si="14"/>
        <v>0</v>
      </c>
      <c r="P41" s="65"/>
    </row>
    <row r="42" spans="1:16" s="14" customFormat="1" ht="13" x14ac:dyDescent="0.3">
      <c r="A42" s="64"/>
      <c r="B42" s="65" t="s">
        <v>309</v>
      </c>
      <c r="C42" s="65" t="s">
        <v>361</v>
      </c>
      <c r="D42" s="63" t="s">
        <v>362</v>
      </c>
      <c r="E42" s="63" t="s">
        <v>323</v>
      </c>
      <c r="F42" s="67">
        <v>767000</v>
      </c>
      <c r="G42" s="68">
        <f>VLOOKUP(B42,'Escalation Factors'!$C$18:$D$44,2,FALSE)</f>
        <v>1.0932112214252097</v>
      </c>
      <c r="H42" s="67">
        <f t="shared" si="32"/>
        <v>838493.00683313585</v>
      </c>
      <c r="I42" s="66">
        <f t="shared" si="9"/>
        <v>14841.326220946505</v>
      </c>
      <c r="J42" s="67">
        <f t="shared" si="33"/>
        <v>853334.33305408235</v>
      </c>
      <c r="K42" s="241">
        <v>1</v>
      </c>
      <c r="L42" s="67">
        <f t="shared" si="34"/>
        <v>853334.33305408235</v>
      </c>
      <c r="M42" s="255">
        <f t="shared" si="12"/>
        <v>0.23407892834770871</v>
      </c>
      <c r="N42" s="67">
        <f t="shared" si="28"/>
        <v>0</v>
      </c>
      <c r="O42" s="67">
        <f t="shared" si="14"/>
        <v>0</v>
      </c>
      <c r="P42" s="65"/>
    </row>
    <row r="43" spans="1:16" s="14" customFormat="1" ht="13" x14ac:dyDescent="0.3">
      <c r="A43" s="64"/>
      <c r="B43" s="65" t="s">
        <v>309</v>
      </c>
      <c r="C43" s="65" t="s">
        <v>363</v>
      </c>
      <c r="D43" s="63" t="s">
        <v>731</v>
      </c>
      <c r="E43" s="63" t="s">
        <v>330</v>
      </c>
      <c r="F43" s="67">
        <v>2875000</v>
      </c>
      <c r="G43" s="68">
        <f>VLOOKUP(B43,'Escalation Factors'!$C$18:$D$44,2,FALSE)</f>
        <v>1.0932112214252097</v>
      </c>
      <c r="H43" s="67">
        <f t="shared" si="32"/>
        <v>3142982.2615974778</v>
      </c>
      <c r="I43" s="66">
        <f t="shared" si="9"/>
        <v>55630.786030275362</v>
      </c>
      <c r="J43" s="67">
        <f t="shared" si="33"/>
        <v>3198613.0476277531</v>
      </c>
      <c r="K43" s="241">
        <v>0.95</v>
      </c>
      <c r="L43" s="67">
        <f t="shared" si="34"/>
        <v>3038682.3952463651</v>
      </c>
      <c r="M43" s="255">
        <f t="shared" si="12"/>
        <v>0.23407892834770871</v>
      </c>
      <c r="N43" s="67">
        <f t="shared" si="28"/>
        <v>37436.395719385233</v>
      </c>
      <c r="O43" s="67">
        <f t="shared" si="14"/>
        <v>122494.25666200276</v>
      </c>
      <c r="P43" s="65"/>
    </row>
    <row r="44" spans="1:16" s="14" customFormat="1" ht="13" x14ac:dyDescent="0.3">
      <c r="A44" s="64"/>
      <c r="B44" s="65" t="s">
        <v>309</v>
      </c>
      <c r="C44" s="65" t="s">
        <v>364</v>
      </c>
      <c r="D44" s="63" t="s">
        <v>365</v>
      </c>
      <c r="E44" s="63" t="s">
        <v>330</v>
      </c>
      <c r="F44" s="67">
        <v>336000</v>
      </c>
      <c r="G44" s="68">
        <f>VLOOKUP(B44,'Escalation Factors'!$C$18:$D$44,2,FALSE)</f>
        <v>1.0932112214252097</v>
      </c>
      <c r="H44" s="67">
        <f t="shared" si="32"/>
        <v>367318.97039887047</v>
      </c>
      <c r="I44" s="66">
        <f t="shared" si="9"/>
        <v>6501.5457760600075</v>
      </c>
      <c r="J44" s="67">
        <f t="shared" si="33"/>
        <v>373820.5161749305</v>
      </c>
      <c r="K44" s="241">
        <v>0.95</v>
      </c>
      <c r="L44" s="67">
        <f t="shared" si="34"/>
        <v>355129.49036618398</v>
      </c>
      <c r="M44" s="255">
        <f t="shared" si="12"/>
        <v>0.23407892834770871</v>
      </c>
      <c r="N44" s="67">
        <f t="shared" si="28"/>
        <v>4375.1752910307505</v>
      </c>
      <c r="O44" s="67">
        <f t="shared" si="14"/>
        <v>14315.850517715768</v>
      </c>
      <c r="P44" s="65"/>
    </row>
    <row r="45" spans="1:16" s="14" customFormat="1" ht="13" x14ac:dyDescent="0.3">
      <c r="A45" s="64"/>
      <c r="B45" s="65" t="s">
        <v>309</v>
      </c>
      <c r="C45" s="65" t="s">
        <v>366</v>
      </c>
      <c r="D45" s="63" t="s">
        <v>367</v>
      </c>
      <c r="E45" s="63" t="s">
        <v>33</v>
      </c>
      <c r="F45" s="67">
        <v>2086000</v>
      </c>
      <c r="G45" s="68">
        <f>VLOOKUP(B45,'Escalation Factors'!$C$18:$D$44,2,FALSE)</f>
        <v>1.0932112214252097</v>
      </c>
      <c r="H45" s="67">
        <f t="shared" si="32"/>
        <v>2280438.6078929873</v>
      </c>
      <c r="I45" s="66">
        <f t="shared" si="9"/>
        <v>40363.763359705874</v>
      </c>
      <c r="J45" s="67">
        <f t="shared" si="33"/>
        <v>2320802.3712526932</v>
      </c>
      <c r="K45" s="241">
        <v>1</v>
      </c>
      <c r="L45" s="67">
        <f t="shared" si="34"/>
        <v>2320802.3712526932</v>
      </c>
      <c r="M45" s="255">
        <f t="shared" si="12"/>
        <v>0.23407892834770871</v>
      </c>
      <c r="N45" s="67">
        <f t="shared" si="28"/>
        <v>0</v>
      </c>
      <c r="O45" s="67">
        <f t="shared" si="14"/>
        <v>0</v>
      </c>
      <c r="P45" s="65"/>
    </row>
    <row r="46" spans="1:16" s="14" customFormat="1" ht="13" x14ac:dyDescent="0.3">
      <c r="A46" s="64"/>
      <c r="B46" s="65" t="s">
        <v>309</v>
      </c>
      <c r="C46" s="65" t="s">
        <v>368</v>
      </c>
      <c r="D46" s="63" t="s">
        <v>369</v>
      </c>
      <c r="E46" s="63" t="s">
        <v>33</v>
      </c>
      <c r="F46" s="67">
        <v>1490000</v>
      </c>
      <c r="G46" s="68">
        <f>VLOOKUP(B46,'Escalation Factors'!$C$18:$D$44,2,FALSE)</f>
        <v>1.0932112214252097</v>
      </c>
      <c r="H46" s="67">
        <f t="shared" si="32"/>
        <v>1628884.7199235624</v>
      </c>
      <c r="I46" s="66">
        <f t="shared" si="9"/>
        <v>28831.259542647054</v>
      </c>
      <c r="J46" s="67">
        <f t="shared" si="33"/>
        <v>1657715.9794662094</v>
      </c>
      <c r="K46" s="241">
        <v>1</v>
      </c>
      <c r="L46" s="67">
        <f t="shared" si="34"/>
        <v>1657715.9794662094</v>
      </c>
      <c r="M46" s="255">
        <f t="shared" si="12"/>
        <v>0.23407892834770871</v>
      </c>
      <c r="N46" s="67">
        <f t="shared" si="28"/>
        <v>0</v>
      </c>
      <c r="O46" s="67">
        <f t="shared" si="14"/>
        <v>0</v>
      </c>
      <c r="P46" s="65"/>
    </row>
    <row r="47" spans="1:16" s="14" customFormat="1" ht="13" x14ac:dyDescent="0.3">
      <c r="A47" s="64"/>
      <c r="B47" s="65" t="s">
        <v>309</v>
      </c>
      <c r="C47" s="65" t="s">
        <v>370</v>
      </c>
      <c r="D47" s="63" t="s">
        <v>371</v>
      </c>
      <c r="E47" s="63" t="s">
        <v>33</v>
      </c>
      <c r="F47" s="67">
        <v>1667000</v>
      </c>
      <c r="G47" s="68">
        <f>VLOOKUP(B47,'Escalation Factors'!$C$18:$D$44,2,FALSE)</f>
        <v>1.0932112214252097</v>
      </c>
      <c r="H47" s="67">
        <f t="shared" ref="H47:H48" si="35">F47*G47</f>
        <v>1822383.1061158245</v>
      </c>
      <c r="I47" s="66">
        <f t="shared" ref="I47:I48" si="36">H47*$I$3</f>
        <v>32256.180978250097</v>
      </c>
      <c r="J47" s="67">
        <f t="shared" ref="J47:J48" si="37">H47+I47</f>
        <v>1854639.2870940745</v>
      </c>
      <c r="K47" s="241">
        <v>1</v>
      </c>
      <c r="L47" s="67">
        <f t="shared" ref="L47:L48" si="38">J47*K47</f>
        <v>1854639.2870940745</v>
      </c>
      <c r="M47" s="255">
        <f t="shared" si="12"/>
        <v>0.23407892834770871</v>
      </c>
      <c r="N47" s="67">
        <f t="shared" ref="N47:N48" si="39">(J47-L47)*M47</f>
        <v>0</v>
      </c>
      <c r="O47" s="67">
        <f t="shared" ref="O47:O48" si="40">J47-L47-N47</f>
        <v>0</v>
      </c>
      <c r="P47" s="65"/>
    </row>
    <row r="48" spans="1:16" s="14" customFormat="1" ht="13" x14ac:dyDescent="0.3">
      <c r="A48" s="64"/>
      <c r="B48" s="65" t="s">
        <v>309</v>
      </c>
      <c r="C48" s="65" t="s">
        <v>742</v>
      </c>
      <c r="D48" s="63" t="s">
        <v>741</v>
      </c>
      <c r="E48" s="63" t="s">
        <v>33</v>
      </c>
      <c r="F48" s="67">
        <v>1086000</v>
      </c>
      <c r="G48" s="68">
        <f>VLOOKUP(B48,'Escalation Factors'!$C$18:$D$44,2,FALSE)</f>
        <v>1.0932112214252097</v>
      </c>
      <c r="H48" s="67">
        <f t="shared" si="35"/>
        <v>1187227.3864677777</v>
      </c>
      <c r="I48" s="66">
        <f t="shared" si="36"/>
        <v>21013.924740479666</v>
      </c>
      <c r="J48" s="67">
        <f t="shared" si="37"/>
        <v>1208241.3112082572</v>
      </c>
      <c r="K48" s="241">
        <v>1</v>
      </c>
      <c r="L48" s="67">
        <f t="shared" si="38"/>
        <v>1208241.3112082572</v>
      </c>
      <c r="M48" s="255">
        <f t="shared" si="12"/>
        <v>0.23407892834770871</v>
      </c>
      <c r="N48" s="67">
        <f t="shared" si="39"/>
        <v>0</v>
      </c>
      <c r="O48" s="67">
        <f t="shared" si="40"/>
        <v>0</v>
      </c>
      <c r="P48" s="65"/>
    </row>
    <row r="49" spans="1:16" s="14" customFormat="1" ht="13" x14ac:dyDescent="0.3">
      <c r="A49" s="64"/>
      <c r="B49" s="65" t="s">
        <v>309</v>
      </c>
      <c r="C49" s="65" t="s">
        <v>743</v>
      </c>
      <c r="D49" s="63" t="s">
        <v>741</v>
      </c>
      <c r="E49" s="63" t="s">
        <v>330</v>
      </c>
      <c r="F49" s="67">
        <v>484000</v>
      </c>
      <c r="G49" s="68">
        <f>VLOOKUP(B49,'Escalation Factors'!$C$18:$D$44,2,FALSE)</f>
        <v>1.0932112214252097</v>
      </c>
      <c r="H49" s="67">
        <f t="shared" si="32"/>
        <v>529114.23116980144</v>
      </c>
      <c r="I49" s="66">
        <f t="shared" si="9"/>
        <v>9365.3218917054855</v>
      </c>
      <c r="J49" s="67">
        <f t="shared" si="33"/>
        <v>538479.55306150694</v>
      </c>
      <c r="K49" s="241">
        <v>1</v>
      </c>
      <c r="L49" s="67">
        <f t="shared" si="34"/>
        <v>538479.55306150694</v>
      </c>
      <c r="M49" s="255">
        <f t="shared" si="12"/>
        <v>0.23407892834770871</v>
      </c>
      <c r="N49" s="67">
        <f t="shared" si="28"/>
        <v>0</v>
      </c>
      <c r="O49" s="67">
        <f t="shared" si="14"/>
        <v>0</v>
      </c>
      <c r="P49" s="65"/>
    </row>
    <row r="50" spans="1:16" s="14" customFormat="1" ht="13" x14ac:dyDescent="0.3">
      <c r="A50" s="64"/>
      <c r="B50" s="69" t="s">
        <v>309</v>
      </c>
      <c r="C50" s="69"/>
      <c r="D50" s="70"/>
      <c r="E50" s="140" t="s">
        <v>13</v>
      </c>
      <c r="F50" s="71">
        <f>SUBTOTAL(9,F36:F49)</f>
        <v>132093076.4875</v>
      </c>
      <c r="G50" s="71"/>
      <c r="H50" s="71">
        <f>SUBTOTAL(9,H36:H49)</f>
        <v>144405633.4887135</v>
      </c>
      <c r="I50" s="71">
        <f>SUBTOTAL(9,I36:I49)</f>
        <v>2555979.7127502291</v>
      </c>
      <c r="J50" s="71">
        <f>SUBTOTAL(9,J36:J49)</f>
        <v>146961613.20146376</v>
      </c>
      <c r="K50" s="247"/>
      <c r="L50" s="71">
        <f>SUBTOTAL(9,L36:L49)</f>
        <v>82822126.126876473</v>
      </c>
      <c r="M50" s="256"/>
      <c r="N50" s="71">
        <f>SUBTOTAL(9,N36:N49)</f>
        <v>15013702.399191109</v>
      </c>
      <c r="O50" s="71">
        <f>SUBTOTAL(9,O36:O49)</f>
        <v>49125784.675396189</v>
      </c>
      <c r="P50" s="69" t="s">
        <v>309</v>
      </c>
    </row>
    <row r="51" spans="1:16" s="14" customFormat="1" ht="13" x14ac:dyDescent="0.3">
      <c r="A51" s="64"/>
      <c r="B51" s="72" t="s">
        <v>310</v>
      </c>
      <c r="C51" s="72" t="s">
        <v>372</v>
      </c>
      <c r="D51" s="63" t="s">
        <v>373</v>
      </c>
      <c r="E51" s="63" t="s">
        <v>323</v>
      </c>
      <c r="F51" s="67">
        <v>1912000</v>
      </c>
      <c r="G51" s="68">
        <f>VLOOKUP(B51,'Escalation Factors'!$C$18:$D$44,2,FALSE)</f>
        <v>1.2212868907317393</v>
      </c>
      <c r="H51" s="67">
        <f>F51*G51</f>
        <v>2335100.5350790857</v>
      </c>
      <c r="I51" s="66">
        <f t="shared" si="9"/>
        <v>41331.279470899819</v>
      </c>
      <c r="J51" s="67">
        <f>H51+I51</f>
        <v>2376431.8145499853</v>
      </c>
      <c r="K51" s="241">
        <v>0.25</v>
      </c>
      <c r="L51" s="67">
        <f t="shared" ref="L51" si="41">J51*K51</f>
        <v>594107.95363749634</v>
      </c>
      <c r="M51" s="255">
        <f t="shared" si="12"/>
        <v>0.23407892834770871</v>
      </c>
      <c r="N51" s="67">
        <f t="shared" ref="N51:N55" si="42">(J51-L51)*M51</f>
        <v>417204.45933094609</v>
      </c>
      <c r="O51" s="67">
        <f t="shared" si="14"/>
        <v>1365119.401581543</v>
      </c>
      <c r="P51" s="72"/>
    </row>
    <row r="52" spans="1:16" s="14" customFormat="1" ht="13" x14ac:dyDescent="0.3">
      <c r="A52" s="64"/>
      <c r="B52" s="72" t="s">
        <v>310</v>
      </c>
      <c r="C52" s="72" t="s">
        <v>374</v>
      </c>
      <c r="D52" s="63" t="s">
        <v>375</v>
      </c>
      <c r="E52" s="63" t="s">
        <v>323</v>
      </c>
      <c r="F52" s="67">
        <v>1380000</v>
      </c>
      <c r="G52" s="68">
        <f>VLOOKUP(B52,'Escalation Factors'!$C$18:$D$44,2,FALSE)</f>
        <v>1.2212868907317393</v>
      </c>
      <c r="H52" s="67">
        <f t="shared" ref="H52:H55" si="43">F52*G52</f>
        <v>1685375.9092098004</v>
      </c>
      <c r="I52" s="66">
        <f t="shared" si="9"/>
        <v>29831.153593013467</v>
      </c>
      <c r="J52" s="67">
        <f t="shared" ref="J52:J55" si="44">H52+I52</f>
        <v>1715207.0628028139</v>
      </c>
      <c r="K52" s="241">
        <v>0.95</v>
      </c>
      <c r="L52" s="67">
        <f t="shared" ref="L52:L55" si="45">J52*K52</f>
        <v>1629446.7096626731</v>
      </c>
      <c r="M52" s="255">
        <f t="shared" si="12"/>
        <v>0.23407892834770871</v>
      </c>
      <c r="N52" s="67">
        <f t="shared" si="42"/>
        <v>20074.691557765233</v>
      </c>
      <c r="O52" s="67">
        <f t="shared" si="14"/>
        <v>65685.661582375644</v>
      </c>
      <c r="P52" s="72"/>
    </row>
    <row r="53" spans="1:16" s="14" customFormat="1" ht="13" x14ac:dyDescent="0.3">
      <c r="A53" s="64"/>
      <c r="B53" s="72" t="s">
        <v>310</v>
      </c>
      <c r="C53" s="72" t="s">
        <v>376</v>
      </c>
      <c r="D53" s="63" t="s">
        <v>377</v>
      </c>
      <c r="E53" s="63" t="s">
        <v>323</v>
      </c>
      <c r="F53" s="67">
        <v>78000</v>
      </c>
      <c r="G53" s="68">
        <f>VLOOKUP(B53,'Escalation Factors'!$C$18:$D$44,2,FALSE)</f>
        <v>1.2212868907317393</v>
      </c>
      <c r="H53" s="67">
        <f t="shared" si="43"/>
        <v>95260.377477075672</v>
      </c>
      <c r="I53" s="66">
        <f t="shared" si="9"/>
        <v>1686.1086813442394</v>
      </c>
      <c r="J53" s="67">
        <f t="shared" si="44"/>
        <v>96946.48615841991</v>
      </c>
      <c r="K53" s="241">
        <v>0.95</v>
      </c>
      <c r="L53" s="67">
        <f t="shared" si="45"/>
        <v>92099.161850498916</v>
      </c>
      <c r="M53" s="255">
        <f t="shared" si="12"/>
        <v>0.23407892834770871</v>
      </c>
      <c r="N53" s="67">
        <f t="shared" si="42"/>
        <v>1134.6564793519449</v>
      </c>
      <c r="O53" s="67">
        <f t="shared" si="14"/>
        <v>3712.6678285690487</v>
      </c>
      <c r="P53" s="72"/>
    </row>
    <row r="54" spans="1:16" s="14" customFormat="1" ht="13" x14ac:dyDescent="0.3">
      <c r="A54" s="64"/>
      <c r="B54" s="72" t="s">
        <v>310</v>
      </c>
      <c r="C54" s="72" t="s">
        <v>732</v>
      </c>
      <c r="D54" s="63" t="s">
        <v>753</v>
      </c>
      <c r="E54" s="63" t="s">
        <v>330</v>
      </c>
      <c r="F54" s="67">
        <v>26105000</v>
      </c>
      <c r="G54" s="68">
        <f>VLOOKUP(B54,'Escalation Factors'!$C$18:$D$44,2,FALSE)</f>
        <v>1.2212868907317393</v>
      </c>
      <c r="H54" s="67">
        <f t="shared" si="43"/>
        <v>31881694.282552056</v>
      </c>
      <c r="I54" s="66">
        <f t="shared" si="9"/>
        <v>564305.98880117142</v>
      </c>
      <c r="J54" s="67">
        <f t="shared" si="44"/>
        <v>32446000.271353226</v>
      </c>
      <c r="K54" s="241">
        <v>0.25</v>
      </c>
      <c r="L54" s="67">
        <f t="shared" si="45"/>
        <v>8111500.0678383065</v>
      </c>
      <c r="M54" s="255">
        <f t="shared" si="12"/>
        <v>0.23407892834770871</v>
      </c>
      <c r="N54" s="67">
        <f t="shared" si="42"/>
        <v>5696193.729515872</v>
      </c>
      <c r="O54" s="67">
        <f t="shared" si="14"/>
        <v>18638306.473999046</v>
      </c>
      <c r="P54" s="72"/>
    </row>
    <row r="55" spans="1:16" s="14" customFormat="1" ht="13" x14ac:dyDescent="0.3">
      <c r="A55" s="64"/>
      <c r="B55" s="72" t="s">
        <v>310</v>
      </c>
      <c r="C55" s="72" t="s">
        <v>378</v>
      </c>
      <c r="D55" s="63" t="s">
        <v>379</v>
      </c>
      <c r="E55" s="63" t="s">
        <v>23</v>
      </c>
      <c r="F55" s="67">
        <v>2169000</v>
      </c>
      <c r="G55" s="68">
        <f>VLOOKUP(B55,'Escalation Factors'!$C$18:$D$44,2,FALSE)</f>
        <v>1.2212868907317393</v>
      </c>
      <c r="H55" s="67">
        <f t="shared" si="43"/>
        <v>2648971.2659971425</v>
      </c>
      <c r="I55" s="66">
        <f t="shared" si="9"/>
        <v>46886.791408149424</v>
      </c>
      <c r="J55" s="67">
        <f t="shared" si="44"/>
        <v>2695858.0574052921</v>
      </c>
      <c r="K55" s="241">
        <v>0.05</v>
      </c>
      <c r="L55" s="67">
        <f t="shared" si="45"/>
        <v>134792.9028702646</v>
      </c>
      <c r="M55" s="255">
        <f t="shared" si="12"/>
        <v>0.23407892834770871</v>
      </c>
      <c r="N55" s="67">
        <f t="shared" si="42"/>
        <v>599491.38680221816</v>
      </c>
      <c r="O55" s="67">
        <f t="shared" si="14"/>
        <v>1961573.7677328091</v>
      </c>
      <c r="P55" s="72"/>
    </row>
    <row r="56" spans="1:16" s="14" customFormat="1" ht="13" x14ac:dyDescent="0.3">
      <c r="A56" s="64"/>
      <c r="B56" s="69" t="s">
        <v>310</v>
      </c>
      <c r="C56" s="69"/>
      <c r="D56" s="70"/>
      <c r="E56" s="140" t="s">
        <v>13</v>
      </c>
      <c r="F56" s="71">
        <f>SUBTOTAL(9,F51:F55)</f>
        <v>31644000</v>
      </c>
      <c r="G56" s="71"/>
      <c r="H56" s="71">
        <f>SUBTOTAL(9,H51:H55)</f>
        <v>38646402.370315157</v>
      </c>
      <c r="I56" s="71">
        <f>SUBTOTAL(9,I51:I55)</f>
        <v>684041.32195457839</v>
      </c>
      <c r="J56" s="71">
        <f>SUBTOTAL(9,J51:J55)</f>
        <v>39330443.692269735</v>
      </c>
      <c r="K56" s="247"/>
      <c r="L56" s="71">
        <f>SUBTOTAL(9,L51:L55)</f>
        <v>10561946.79585924</v>
      </c>
      <c r="M56" s="256"/>
      <c r="N56" s="71">
        <f>SUBTOTAL(9,N51:N55)</f>
        <v>6734098.9236861533</v>
      </c>
      <c r="O56" s="71">
        <f>SUBTOTAL(9,O51:O55)</f>
        <v>22034397.972724345</v>
      </c>
      <c r="P56" s="69" t="s">
        <v>310</v>
      </c>
    </row>
    <row r="57" spans="1:16" s="14" customFormat="1" ht="13" x14ac:dyDescent="0.3">
      <c r="A57" s="64"/>
      <c r="B57" s="72" t="s">
        <v>311</v>
      </c>
      <c r="C57" s="72" t="s">
        <v>733</v>
      </c>
      <c r="D57" s="63" t="s">
        <v>734</v>
      </c>
      <c r="E57" s="63" t="s">
        <v>323</v>
      </c>
      <c r="F57" s="67">
        <v>6790000</v>
      </c>
      <c r="G57" s="68">
        <f>VLOOKUP(B57,'Escalation Factors'!$C$18:$D$44,2,FALSE)</f>
        <v>1.3643673246682286</v>
      </c>
      <c r="H57" s="67">
        <f>F57*G57</f>
        <v>9264054.1344972719</v>
      </c>
      <c r="I57" s="66">
        <f t="shared" si="9"/>
        <v>163973.75818060173</v>
      </c>
      <c r="J57" s="67">
        <f>H57+I57</f>
        <v>9428027.8926778734</v>
      </c>
      <c r="K57" s="241">
        <v>0.05</v>
      </c>
      <c r="L57" s="67">
        <f>J57*K57</f>
        <v>471401.39463389368</v>
      </c>
      <c r="M57" s="255">
        <f t="shared" si="12"/>
        <v>0.23407892834770871</v>
      </c>
      <c r="N57" s="67">
        <f t="shared" ref="N57:N71" si="46">(J57-L57)*M57</f>
        <v>2096557.5322728262</v>
      </c>
      <c r="O57" s="67">
        <f t="shared" si="14"/>
        <v>6860068.9657711545</v>
      </c>
      <c r="P57" s="72"/>
    </row>
    <row r="58" spans="1:16" s="14" customFormat="1" ht="13" x14ac:dyDescent="0.3">
      <c r="A58" s="64"/>
      <c r="B58" s="72" t="s">
        <v>311</v>
      </c>
      <c r="C58" s="72" t="s">
        <v>380</v>
      </c>
      <c r="D58" s="63" t="s">
        <v>381</v>
      </c>
      <c r="E58" s="63" t="s">
        <v>323</v>
      </c>
      <c r="F58" s="67">
        <v>340000</v>
      </c>
      <c r="G58" s="68">
        <f>VLOOKUP(B58,'Escalation Factors'!$C$18:$D$44,2,FALSE)</f>
        <v>1.3643673246682286</v>
      </c>
      <c r="H58" s="67">
        <f t="shared" ref="H58" si="47">F58*G58</f>
        <v>463884.89038719772</v>
      </c>
      <c r="I58" s="66">
        <f t="shared" si="9"/>
        <v>8210.7625598533996</v>
      </c>
      <c r="J58" s="67">
        <f t="shared" ref="J58" si="48">H58+I58</f>
        <v>472095.6529470511</v>
      </c>
      <c r="K58" s="241">
        <v>1</v>
      </c>
      <c r="L58" s="67">
        <f t="shared" ref="L58" si="49">J58*K58</f>
        <v>472095.6529470511</v>
      </c>
      <c r="M58" s="255">
        <v>0</v>
      </c>
      <c r="N58" s="67">
        <f t="shared" si="46"/>
        <v>0</v>
      </c>
      <c r="O58" s="67">
        <f t="shared" si="14"/>
        <v>0</v>
      </c>
      <c r="P58" s="72"/>
    </row>
    <row r="59" spans="1:16" s="14" customFormat="1" ht="13" x14ac:dyDescent="0.3">
      <c r="A59" s="64"/>
      <c r="B59" s="72" t="s">
        <v>311</v>
      </c>
      <c r="C59" s="72" t="s">
        <v>382</v>
      </c>
      <c r="D59" s="63" t="s">
        <v>383</v>
      </c>
      <c r="E59" s="63" t="s">
        <v>323</v>
      </c>
      <c r="F59" s="67">
        <v>1120231.6949999998</v>
      </c>
      <c r="G59" s="68">
        <f>VLOOKUP(B59,'Escalation Factors'!$C$18:$D$44,2,FALSE)</f>
        <v>1.3643673246682286</v>
      </c>
      <c r="H59" s="67">
        <f t="shared" ref="H59:H70" si="50">F59*G59</f>
        <v>1528407.5207157049</v>
      </c>
      <c r="I59" s="66">
        <f t="shared" si="9"/>
        <v>27052.813116667978</v>
      </c>
      <c r="J59" s="67">
        <f t="shared" ref="J59:J70" si="51">H59+I59</f>
        <v>1555460.3338323729</v>
      </c>
      <c r="K59" s="241">
        <v>0.05</v>
      </c>
      <c r="L59" s="67">
        <f t="shared" ref="L59:L70" si="52">J59*K59</f>
        <v>77773.016691618643</v>
      </c>
      <c r="M59" s="255">
        <f t="shared" si="12"/>
        <v>0.23407892834770871</v>
      </c>
      <c r="N59" s="67">
        <f t="shared" si="46"/>
        <v>345895.46362930856</v>
      </c>
      <c r="O59" s="67">
        <f t="shared" si="14"/>
        <v>1131791.8535114457</v>
      </c>
      <c r="P59" s="72"/>
    </row>
    <row r="60" spans="1:16" s="14" customFormat="1" ht="13" x14ac:dyDescent="0.3">
      <c r="A60" s="64"/>
      <c r="B60" s="72" t="s">
        <v>311</v>
      </c>
      <c r="C60" s="72" t="s">
        <v>384</v>
      </c>
      <c r="D60" s="63" t="s">
        <v>385</v>
      </c>
      <c r="E60" s="63" t="s">
        <v>323</v>
      </c>
      <c r="F60" s="67">
        <v>1013000</v>
      </c>
      <c r="G60" s="68">
        <f>VLOOKUP(B60,'Escalation Factors'!$C$18:$D$44,2,FALSE)</f>
        <v>1.3643673246682286</v>
      </c>
      <c r="H60" s="67">
        <f t="shared" si="50"/>
        <v>1382104.0998889157</v>
      </c>
      <c r="I60" s="66">
        <f t="shared" si="9"/>
        <v>24463.242568033809</v>
      </c>
      <c r="J60" s="67">
        <f t="shared" si="51"/>
        <v>1406567.3424569494</v>
      </c>
      <c r="K60" s="241">
        <v>1</v>
      </c>
      <c r="L60" s="67">
        <f t="shared" si="52"/>
        <v>1406567.3424569494</v>
      </c>
      <c r="M60" s="255">
        <f t="shared" si="12"/>
        <v>0.23407892834770871</v>
      </c>
      <c r="N60" s="67">
        <f t="shared" si="46"/>
        <v>0</v>
      </c>
      <c r="O60" s="67">
        <f t="shared" si="14"/>
        <v>0</v>
      </c>
      <c r="P60" s="72"/>
    </row>
    <row r="61" spans="1:16" s="14" customFormat="1" ht="13" x14ac:dyDescent="0.3">
      <c r="A61" s="64"/>
      <c r="B61" s="72" t="s">
        <v>311</v>
      </c>
      <c r="C61" s="72" t="s">
        <v>386</v>
      </c>
      <c r="D61" s="63" t="s">
        <v>387</v>
      </c>
      <c r="E61" s="63" t="s">
        <v>323</v>
      </c>
      <c r="F61" s="67">
        <v>555000</v>
      </c>
      <c r="G61" s="68">
        <f>VLOOKUP(B61,'Escalation Factors'!$C$18:$D$44,2,FALSE)</f>
        <v>1.3643673246682286</v>
      </c>
      <c r="H61" s="67">
        <f t="shared" si="50"/>
        <v>757223.86519086687</v>
      </c>
      <c r="I61" s="66">
        <f t="shared" si="9"/>
        <v>13402.862413878343</v>
      </c>
      <c r="J61" s="67">
        <f t="shared" si="51"/>
        <v>770626.72760474519</v>
      </c>
      <c r="K61" s="241">
        <v>1</v>
      </c>
      <c r="L61" s="67">
        <f t="shared" si="52"/>
        <v>770626.72760474519</v>
      </c>
      <c r="M61" s="255">
        <f t="shared" si="12"/>
        <v>0.23407892834770871</v>
      </c>
      <c r="N61" s="67">
        <f t="shared" si="46"/>
        <v>0</v>
      </c>
      <c r="O61" s="67">
        <f t="shared" si="14"/>
        <v>0</v>
      </c>
      <c r="P61" s="72"/>
    </row>
    <row r="62" spans="1:16" s="14" customFormat="1" ht="13" x14ac:dyDescent="0.3">
      <c r="A62" s="64"/>
      <c r="B62" s="72" t="s">
        <v>311</v>
      </c>
      <c r="C62" s="72" t="s">
        <v>388</v>
      </c>
      <c r="D62" s="63" t="s">
        <v>389</v>
      </c>
      <c r="E62" s="63" t="s">
        <v>323</v>
      </c>
      <c r="F62" s="67">
        <v>3106000</v>
      </c>
      <c r="G62" s="68">
        <f>VLOOKUP(B62,'Escalation Factors'!$C$18:$D$44,2,FALSE)</f>
        <v>1.3643673246682286</v>
      </c>
      <c r="H62" s="67">
        <f t="shared" si="50"/>
        <v>4237724.9104195181</v>
      </c>
      <c r="I62" s="66">
        <f t="shared" si="9"/>
        <v>75007.730914425469</v>
      </c>
      <c r="J62" s="67">
        <f t="shared" si="51"/>
        <v>4312732.6413339432</v>
      </c>
      <c r="K62" s="241">
        <v>1</v>
      </c>
      <c r="L62" s="67">
        <f t="shared" si="52"/>
        <v>4312732.6413339432</v>
      </c>
      <c r="M62" s="255">
        <f t="shared" si="12"/>
        <v>0.23407892834770871</v>
      </c>
      <c r="N62" s="67">
        <f t="shared" si="46"/>
        <v>0</v>
      </c>
      <c r="O62" s="67">
        <f t="shared" si="14"/>
        <v>0</v>
      </c>
      <c r="P62" s="72"/>
    </row>
    <row r="63" spans="1:16" s="14" customFormat="1" ht="13" x14ac:dyDescent="0.3">
      <c r="A63" s="64"/>
      <c r="B63" s="72" t="s">
        <v>311</v>
      </c>
      <c r="C63" s="72" t="s">
        <v>390</v>
      </c>
      <c r="D63" s="63" t="s">
        <v>391</v>
      </c>
      <c r="E63" s="63" t="s">
        <v>330</v>
      </c>
      <c r="F63" s="67">
        <v>2633000</v>
      </c>
      <c r="G63" s="68">
        <f>VLOOKUP(B63,'Escalation Factors'!$C$18:$D$44,2,FALSE)</f>
        <v>1.3643673246682286</v>
      </c>
      <c r="H63" s="67">
        <f t="shared" si="50"/>
        <v>3592379.1658514459</v>
      </c>
      <c r="I63" s="66">
        <f t="shared" si="9"/>
        <v>63585.111235570592</v>
      </c>
      <c r="J63" s="67">
        <f t="shared" si="51"/>
        <v>3655964.2770870165</v>
      </c>
      <c r="K63" s="241">
        <v>1</v>
      </c>
      <c r="L63" s="67">
        <f t="shared" si="52"/>
        <v>3655964.2770870165</v>
      </c>
      <c r="M63" s="255">
        <v>0</v>
      </c>
      <c r="N63" s="67">
        <f t="shared" si="46"/>
        <v>0</v>
      </c>
      <c r="O63" s="67">
        <f t="shared" si="14"/>
        <v>0</v>
      </c>
      <c r="P63" s="72"/>
    </row>
    <row r="64" spans="1:16" s="14" customFormat="1" ht="13" x14ac:dyDescent="0.3">
      <c r="A64" s="64"/>
      <c r="B64" s="72" t="s">
        <v>311</v>
      </c>
      <c r="C64" s="72" t="s">
        <v>392</v>
      </c>
      <c r="D64" s="63" t="s">
        <v>393</v>
      </c>
      <c r="E64" s="63" t="s">
        <v>330</v>
      </c>
      <c r="F64" s="67">
        <v>3204580</v>
      </c>
      <c r="G64" s="68">
        <f>VLOOKUP(B64,'Escalation Factors'!$C$18:$D$44,2,FALSE)</f>
        <v>1.3643673246682286</v>
      </c>
      <c r="H64" s="67">
        <f t="shared" si="50"/>
        <v>4372224.241285312</v>
      </c>
      <c r="I64" s="66">
        <f t="shared" si="9"/>
        <v>77388.369070750021</v>
      </c>
      <c r="J64" s="67">
        <f t="shared" si="51"/>
        <v>4449612.6103560617</v>
      </c>
      <c r="K64" s="241">
        <v>0.05</v>
      </c>
      <c r="L64" s="67">
        <f t="shared" si="52"/>
        <v>222480.6305178031</v>
      </c>
      <c r="M64" s="255">
        <f t="shared" si="12"/>
        <v>0.23407892834770871</v>
      </c>
      <c r="N64" s="67">
        <f t="shared" si="46"/>
        <v>989482.52382486779</v>
      </c>
      <c r="O64" s="67">
        <f t="shared" si="14"/>
        <v>3237649.4560133908</v>
      </c>
      <c r="P64" s="72"/>
    </row>
    <row r="65" spans="1:16" s="14" customFormat="1" ht="13" x14ac:dyDescent="0.3">
      <c r="A65" s="64"/>
      <c r="B65" s="72" t="s">
        <v>311</v>
      </c>
      <c r="C65" s="72" t="s">
        <v>394</v>
      </c>
      <c r="D65" s="63" t="s">
        <v>395</v>
      </c>
      <c r="E65" s="63" t="s">
        <v>33</v>
      </c>
      <c r="F65" s="67">
        <v>17469000</v>
      </c>
      <c r="G65" s="68">
        <f>VLOOKUP(B65,'Escalation Factors'!$C$18:$D$44,2,FALSE)</f>
        <v>1.3643673246682286</v>
      </c>
      <c r="H65" s="67">
        <f t="shared" si="50"/>
        <v>23834132.794629287</v>
      </c>
      <c r="I65" s="66">
        <f t="shared" si="9"/>
        <v>421864.15046493837</v>
      </c>
      <c r="J65" s="67">
        <f t="shared" si="51"/>
        <v>24255996.945094224</v>
      </c>
      <c r="K65" s="241">
        <v>0.05</v>
      </c>
      <c r="L65" s="67">
        <f t="shared" si="52"/>
        <v>1212799.8472547112</v>
      </c>
      <c r="M65" s="255">
        <f t="shared" si="12"/>
        <v>0.23407892834770871</v>
      </c>
      <c r="N65" s="67">
        <f t="shared" si="46"/>
        <v>5393926.8823673045</v>
      </c>
      <c r="O65" s="67">
        <f t="shared" si="14"/>
        <v>17649270.215472206</v>
      </c>
      <c r="P65" s="72"/>
    </row>
    <row r="66" spans="1:16" s="14" customFormat="1" ht="13" x14ac:dyDescent="0.3">
      <c r="A66" s="64"/>
      <c r="B66" s="72" t="s">
        <v>311</v>
      </c>
      <c r="C66" s="72" t="s">
        <v>396</v>
      </c>
      <c r="D66" s="63" t="s">
        <v>397</v>
      </c>
      <c r="E66" s="63" t="s">
        <v>33</v>
      </c>
      <c r="F66" s="67">
        <v>10529000</v>
      </c>
      <c r="G66" s="68">
        <f>VLOOKUP(B66,'Escalation Factors'!$C$18:$D$44,2,FALSE)</f>
        <v>1.3643673246682286</v>
      </c>
      <c r="H66" s="67">
        <f t="shared" si="50"/>
        <v>14365423.561431779</v>
      </c>
      <c r="I66" s="66">
        <f t="shared" si="9"/>
        <v>254267.99703734249</v>
      </c>
      <c r="J66" s="67">
        <f t="shared" si="51"/>
        <v>14619691.55846912</v>
      </c>
      <c r="K66" s="241">
        <v>0.5</v>
      </c>
      <c r="L66" s="67">
        <f t="shared" si="52"/>
        <v>7309845.7792345602</v>
      </c>
      <c r="M66" s="255">
        <f t="shared" si="12"/>
        <v>0.23407892834770871</v>
      </c>
      <c r="N66" s="67">
        <f t="shared" si="46"/>
        <v>1711080.8663902476</v>
      </c>
      <c r="O66" s="67">
        <f t="shared" si="14"/>
        <v>5598764.9128443124</v>
      </c>
      <c r="P66" s="72"/>
    </row>
    <row r="67" spans="1:16" s="14" customFormat="1" ht="13" x14ac:dyDescent="0.3">
      <c r="A67" s="64"/>
      <c r="B67" s="72" t="s">
        <v>311</v>
      </c>
      <c r="C67" s="72" t="s">
        <v>398</v>
      </c>
      <c r="D67" s="63" t="s">
        <v>399</v>
      </c>
      <c r="E67" s="63" t="s">
        <v>33</v>
      </c>
      <c r="F67" s="67">
        <v>8023065</v>
      </c>
      <c r="G67" s="68">
        <f>VLOOKUP(B67,'Escalation Factors'!$C$18:$D$44,2,FALSE)</f>
        <v>1.3643673246682286</v>
      </c>
      <c r="H67" s="67">
        <f t="shared" si="50"/>
        <v>10946407.729689302</v>
      </c>
      <c r="I67" s="66">
        <f t="shared" si="9"/>
        <v>193751.41681550065</v>
      </c>
      <c r="J67" s="67">
        <f t="shared" si="51"/>
        <v>11140159.146504803</v>
      </c>
      <c r="K67" s="241">
        <v>0.05</v>
      </c>
      <c r="L67" s="67">
        <f t="shared" si="52"/>
        <v>557007.95732524013</v>
      </c>
      <c r="M67" s="255">
        <f t="shared" si="12"/>
        <v>0.23407892834770871</v>
      </c>
      <c r="N67" s="67">
        <f t="shared" si="46"/>
        <v>2477292.6889049308</v>
      </c>
      <c r="O67" s="67">
        <f t="shared" si="14"/>
        <v>8105858.5002746312</v>
      </c>
      <c r="P67" s="72"/>
    </row>
    <row r="68" spans="1:16" s="14" customFormat="1" ht="13" x14ac:dyDescent="0.3">
      <c r="A68" s="64"/>
      <c r="B68" s="72" t="s">
        <v>311</v>
      </c>
      <c r="C68" s="72" t="s">
        <v>400</v>
      </c>
      <c r="D68" s="63" t="s">
        <v>401</v>
      </c>
      <c r="E68" s="63" t="s">
        <v>23</v>
      </c>
      <c r="F68" s="67">
        <v>2997000</v>
      </c>
      <c r="G68" s="68">
        <f>VLOOKUP(B68,'Escalation Factors'!$C$18:$D$44,2,FALSE)</f>
        <v>1.3643673246682286</v>
      </c>
      <c r="H68" s="67">
        <f t="shared" si="50"/>
        <v>4089008.872030681</v>
      </c>
      <c r="I68" s="66">
        <f t="shared" si="9"/>
        <v>72375.457034943058</v>
      </c>
      <c r="J68" s="67">
        <f t="shared" si="51"/>
        <v>4161384.3290656242</v>
      </c>
      <c r="K68" s="241">
        <v>0.05</v>
      </c>
      <c r="L68" s="67">
        <f t="shared" si="52"/>
        <v>208069.21645328123</v>
      </c>
      <c r="M68" s="255">
        <f t="shared" si="12"/>
        <v>0.23407892834770871</v>
      </c>
      <c r="N68" s="67">
        <f t="shared" si="46"/>
        <v>925387.76498109859</v>
      </c>
      <c r="O68" s="67">
        <f t="shared" si="14"/>
        <v>3027927.3476312445</v>
      </c>
      <c r="P68" s="72"/>
    </row>
    <row r="69" spans="1:16" s="14" customFormat="1" ht="13" x14ac:dyDescent="0.3">
      <c r="A69" s="64"/>
      <c r="B69" s="72" t="s">
        <v>311</v>
      </c>
      <c r="C69" s="72" t="s">
        <v>746</v>
      </c>
      <c r="D69" s="63" t="s">
        <v>735</v>
      </c>
      <c r="E69" s="63" t="s">
        <v>350</v>
      </c>
      <c r="F69" s="67">
        <v>24674000</v>
      </c>
      <c r="G69" s="68">
        <f>VLOOKUP(B69,'Escalation Factors'!$C$18:$D$44,2,FALSE)</f>
        <v>1.3643673246682286</v>
      </c>
      <c r="H69" s="67">
        <f t="shared" si="50"/>
        <v>33664399.368863873</v>
      </c>
      <c r="I69" s="66">
        <f t="shared" si="9"/>
        <v>595859.86882889061</v>
      </c>
      <c r="J69" s="67">
        <f t="shared" si="51"/>
        <v>34260259.237692766</v>
      </c>
      <c r="K69" s="241">
        <v>0.05</v>
      </c>
      <c r="L69" s="67">
        <f t="shared" si="52"/>
        <v>1713012.9618846383</v>
      </c>
      <c r="M69" s="255">
        <f t="shared" si="12"/>
        <v>0.23407892834770871</v>
      </c>
      <c r="N69" s="67">
        <f t="shared" si="46"/>
        <v>7618624.52891012</v>
      </c>
      <c r="O69" s="67">
        <f t="shared" si="14"/>
        <v>24928621.746898007</v>
      </c>
      <c r="P69" s="72"/>
    </row>
    <row r="70" spans="1:16" s="14" customFormat="1" ht="13" x14ac:dyDescent="0.3">
      <c r="A70" s="64"/>
      <c r="B70" s="72" t="s">
        <v>311</v>
      </c>
      <c r="C70" s="72" t="s">
        <v>348</v>
      </c>
      <c r="D70" s="63" t="s">
        <v>402</v>
      </c>
      <c r="E70" s="63" t="s">
        <v>403</v>
      </c>
      <c r="F70" s="67">
        <v>7439000</v>
      </c>
      <c r="G70" s="68">
        <f>VLOOKUP(B70,'Escalation Factors'!$C$18:$D$44,2,FALSE)</f>
        <v>1.3643673246682286</v>
      </c>
      <c r="H70" s="67">
        <f t="shared" si="50"/>
        <v>10149528.528206952</v>
      </c>
      <c r="I70" s="66">
        <f t="shared" si="9"/>
        <v>179646.65494926306</v>
      </c>
      <c r="J70" s="67">
        <f t="shared" si="51"/>
        <v>10329175.183156215</v>
      </c>
      <c r="K70" s="241">
        <v>0.05</v>
      </c>
      <c r="L70" s="67">
        <f t="shared" si="52"/>
        <v>516458.75915781077</v>
      </c>
      <c r="M70" s="255">
        <f t="shared" si="12"/>
        <v>0.23407892834770871</v>
      </c>
      <c r="N70" s="67">
        <f t="shared" si="46"/>
        <v>2296950.144709507</v>
      </c>
      <c r="O70" s="67">
        <f t="shared" si="14"/>
        <v>7515766.2792888973</v>
      </c>
      <c r="P70" s="72"/>
    </row>
    <row r="71" spans="1:16" s="14" customFormat="1" ht="13" x14ac:dyDescent="0.3">
      <c r="A71" s="64"/>
      <c r="B71" s="72" t="s">
        <v>311</v>
      </c>
      <c r="C71" s="72" t="s">
        <v>404</v>
      </c>
      <c r="D71" s="63" t="s">
        <v>405</v>
      </c>
      <c r="E71" s="63" t="s">
        <v>330</v>
      </c>
      <c r="F71" s="67">
        <v>1176000</v>
      </c>
      <c r="G71" s="68">
        <f>VLOOKUP(B71,'Escalation Factors'!$C$18:$D$44,2,FALSE)</f>
        <v>1.3643673246682286</v>
      </c>
      <c r="H71" s="67">
        <f t="shared" ref="H71" si="53">F71*G71</f>
        <v>1604495.9738098369</v>
      </c>
      <c r="I71" s="66">
        <f t="shared" si="9"/>
        <v>28399.578736434112</v>
      </c>
      <c r="J71" s="67">
        <f t="shared" ref="J71" si="54">H71+I71</f>
        <v>1632895.5525462711</v>
      </c>
      <c r="K71" s="241">
        <v>1</v>
      </c>
      <c r="L71" s="67">
        <f t="shared" ref="L71" si="55">J71*K71</f>
        <v>1632895.5525462711</v>
      </c>
      <c r="M71" s="255">
        <v>0</v>
      </c>
      <c r="N71" s="67">
        <f t="shared" si="46"/>
        <v>0</v>
      </c>
      <c r="O71" s="67">
        <f t="shared" si="14"/>
        <v>0</v>
      </c>
      <c r="P71" s="72"/>
    </row>
    <row r="72" spans="1:16" s="14" customFormat="1" ht="13" x14ac:dyDescent="0.3">
      <c r="A72" s="64"/>
      <c r="B72" s="69" t="s">
        <v>311</v>
      </c>
      <c r="C72" s="69"/>
      <c r="D72" s="70"/>
      <c r="E72" s="140" t="s">
        <v>13</v>
      </c>
      <c r="F72" s="71">
        <f>SUBTOTAL(9,F57:F71)</f>
        <v>91068876.694999993</v>
      </c>
      <c r="G72" s="71"/>
      <c r="H72" s="71">
        <f>SUBTOTAL(9,H57:H71)</f>
        <v>124251399.65689793</v>
      </c>
      <c r="I72" s="71">
        <f>SUBTOTAL(9,I57:I71)</f>
        <v>2199249.7739270939</v>
      </c>
      <c r="J72" s="71">
        <f>SUBTOTAL(9,J57:J71)</f>
        <v>126450649.43082504</v>
      </c>
      <c r="K72" s="247"/>
      <c r="L72" s="71">
        <f>SUBTOTAL(9,L57:L71)</f>
        <v>24539731.757129531</v>
      </c>
      <c r="M72" s="256"/>
      <c r="N72" s="71">
        <f>SUBTOTAL(9,N57:N71)</f>
        <v>23855198.395990208</v>
      </c>
      <c r="O72" s="71">
        <f>SUBTOTAL(9,O57:O71)</f>
        <v>78055719.277705297</v>
      </c>
      <c r="P72" s="69" t="s">
        <v>311</v>
      </c>
    </row>
    <row r="73" spans="1:16" s="14" customFormat="1" ht="13" x14ac:dyDescent="0.3">
      <c r="A73" s="64"/>
      <c r="B73" s="72" t="s">
        <v>312</v>
      </c>
      <c r="C73" s="72" t="s">
        <v>406</v>
      </c>
      <c r="D73" s="63" t="s">
        <v>407</v>
      </c>
      <c r="E73" s="63" t="s">
        <v>323</v>
      </c>
      <c r="F73" s="67">
        <v>10446000</v>
      </c>
      <c r="G73" s="68">
        <f>VLOOKUP(B73,'Escalation Factors'!$C$18:$D$44,2,FALSE)</f>
        <v>1.5242104134164698</v>
      </c>
      <c r="H73" s="67">
        <f>F73*G73</f>
        <v>15921901.978548443</v>
      </c>
      <c r="I73" s="66">
        <f>H73*$I$3</f>
        <v>281817.66502030747</v>
      </c>
      <c r="J73" s="67">
        <f>H73+I73</f>
        <v>16203719.64356875</v>
      </c>
      <c r="K73" s="241">
        <v>0.75</v>
      </c>
      <c r="L73" s="67">
        <f t="shared" ref="L73:L90" si="56">J73*K73</f>
        <v>12152789.732676562</v>
      </c>
      <c r="M73" s="255">
        <f t="shared" ref="M73:M79" si="57">$M$3</f>
        <v>0.23407892834770871</v>
      </c>
      <c r="N73" s="67">
        <f t="shared" ref="N73:N90" si="58">(J73-L73)*M73</f>
        <v>948237.33235332265</v>
      </c>
      <c r="O73" s="67">
        <f t="shared" ref="O73:O89" si="59">J73-L73-N73</f>
        <v>3102692.5785388658</v>
      </c>
      <c r="P73" s="72"/>
    </row>
    <row r="74" spans="1:16" s="14" customFormat="1" ht="13" x14ac:dyDescent="0.3">
      <c r="A74" s="64"/>
      <c r="B74" s="72" t="s">
        <v>312</v>
      </c>
      <c r="C74" s="72" t="s">
        <v>408</v>
      </c>
      <c r="D74" s="63" t="s">
        <v>409</v>
      </c>
      <c r="E74" s="63" t="s">
        <v>323</v>
      </c>
      <c r="F74" s="67">
        <v>12572000</v>
      </c>
      <c r="G74" s="68">
        <f>VLOOKUP(B74,'Escalation Factors'!$C$18:$D$44,2,FALSE)</f>
        <v>1.5242104134164698</v>
      </c>
      <c r="H74" s="67">
        <f t="shared" ref="H74:H90" si="60">F74*G74</f>
        <v>19162373.317471858</v>
      </c>
      <c r="I74" s="66">
        <f t="shared" ref="I74:I90" si="61">H74*$I$3</f>
        <v>339174.00771925191</v>
      </c>
      <c r="J74" s="67">
        <f t="shared" ref="J74:J87" si="62">H74+I74</f>
        <v>19501547.32519111</v>
      </c>
      <c r="K74" s="241">
        <v>0</v>
      </c>
      <c r="L74" s="67">
        <f t="shared" ref="L74:L87" si="63">J74*K74</f>
        <v>0</v>
      </c>
      <c r="M74" s="255">
        <f t="shared" si="57"/>
        <v>0.23407892834770871</v>
      </c>
      <c r="N74" s="67">
        <f t="shared" si="58"/>
        <v>4564901.2990028607</v>
      </c>
      <c r="O74" s="67">
        <f t="shared" si="59"/>
        <v>14936646.026188251</v>
      </c>
      <c r="P74" s="72"/>
    </row>
    <row r="75" spans="1:16" s="14" customFormat="1" ht="13" x14ac:dyDescent="0.3">
      <c r="A75" s="64"/>
      <c r="B75" s="72" t="s">
        <v>312</v>
      </c>
      <c r="C75" s="72" t="s">
        <v>854</v>
      </c>
      <c r="D75" s="63" t="s">
        <v>856</v>
      </c>
      <c r="E75" s="63" t="s">
        <v>323</v>
      </c>
      <c r="F75" s="67">
        <v>87400000</v>
      </c>
      <c r="G75" s="68">
        <f>VLOOKUP(B75,'Escalation Factors'!$C$18:$D$44,2,FALSE)</f>
        <v>1.5242104134164698</v>
      </c>
      <c r="H75" s="67">
        <f t="shared" ref="H75" si="64">F75*G75</f>
        <v>133215990.13259946</v>
      </c>
      <c r="I75" s="66">
        <f t="shared" ref="I75" si="65">H75*$I$3</f>
        <v>2357923.0253470107</v>
      </c>
      <c r="J75" s="67">
        <f t="shared" ref="J75" si="66">H75+I75</f>
        <v>135573913.15794647</v>
      </c>
      <c r="K75" s="241">
        <f>1-28.996174474%</f>
        <v>0.71003825525999997</v>
      </c>
      <c r="L75" s="67">
        <f t="shared" ref="L75" si="67">J75*K75</f>
        <v>96262664.757439062</v>
      </c>
      <c r="M75" s="255">
        <f t="shared" si="57"/>
        <v>0.23407892834770871</v>
      </c>
      <c r="N75" s="67">
        <f t="shared" ref="N75" si="68">(J75-L75)*M75</f>
        <v>9201934.8976013511</v>
      </c>
      <c r="O75" s="67">
        <f t="shared" si="59"/>
        <v>30109313.502906054</v>
      </c>
      <c r="P75" s="72"/>
    </row>
    <row r="76" spans="1:16" s="14" customFormat="1" ht="13" x14ac:dyDescent="0.3">
      <c r="A76" s="64"/>
      <c r="B76" s="72" t="s">
        <v>312</v>
      </c>
      <c r="C76" s="72" t="s">
        <v>410</v>
      </c>
      <c r="D76" s="63" t="s">
        <v>411</v>
      </c>
      <c r="E76" s="63" t="s">
        <v>323</v>
      </c>
      <c r="F76" s="67">
        <v>675000</v>
      </c>
      <c r="G76" s="68">
        <f>VLOOKUP(B76,'Escalation Factors'!$C$18:$D$44,2,FALSE)</f>
        <v>1.5242104134164698</v>
      </c>
      <c r="H76" s="67">
        <f t="shared" si="60"/>
        <v>1028842.0290561171</v>
      </c>
      <c r="I76" s="66">
        <f t="shared" si="61"/>
        <v>18210.503914293273</v>
      </c>
      <c r="J76" s="67">
        <f t="shared" si="62"/>
        <v>1047052.5329704103</v>
      </c>
      <c r="K76" s="241">
        <v>0.9</v>
      </c>
      <c r="L76" s="67">
        <f t="shared" si="63"/>
        <v>942347.27967336925</v>
      </c>
      <c r="M76" s="255">
        <f t="shared" si="57"/>
        <v>0.23407892834770871</v>
      </c>
      <c r="N76" s="67">
        <f t="shared" si="58"/>
        <v>24509.293484146765</v>
      </c>
      <c r="O76" s="67">
        <f t="shared" si="59"/>
        <v>80195.959812894289</v>
      </c>
      <c r="P76" s="72"/>
    </row>
    <row r="77" spans="1:16" s="14" customFormat="1" ht="13" x14ac:dyDescent="0.3">
      <c r="A77" s="64"/>
      <c r="B77" s="72" t="s">
        <v>312</v>
      </c>
      <c r="C77" s="72" t="s">
        <v>412</v>
      </c>
      <c r="D77" s="63" t="s">
        <v>413</v>
      </c>
      <c r="E77" s="63" t="s">
        <v>323</v>
      </c>
      <c r="F77" s="67">
        <v>4814000</v>
      </c>
      <c r="G77" s="68">
        <f>VLOOKUP(B77,'Escalation Factors'!$C$18:$D$44,2,FALSE)</f>
        <v>1.5242104134164698</v>
      </c>
      <c r="H77" s="67">
        <f t="shared" si="60"/>
        <v>7337548.9301868854</v>
      </c>
      <c r="I77" s="66">
        <f t="shared" si="61"/>
        <v>129874.61606430788</v>
      </c>
      <c r="J77" s="67">
        <f t="shared" si="62"/>
        <v>7467423.5462511936</v>
      </c>
      <c r="K77" s="241">
        <v>0.25</v>
      </c>
      <c r="L77" s="67">
        <f t="shared" si="63"/>
        <v>1866855.8865627984</v>
      </c>
      <c r="M77" s="255">
        <f t="shared" si="57"/>
        <v>0.23407892834770871</v>
      </c>
      <c r="N77" s="67">
        <f t="shared" si="58"/>
        <v>1310974.8759186945</v>
      </c>
      <c r="O77" s="67">
        <f t="shared" si="59"/>
        <v>4289592.7837697007</v>
      </c>
      <c r="P77" s="72"/>
    </row>
    <row r="78" spans="1:16" s="14" customFormat="1" ht="13" x14ac:dyDescent="0.3">
      <c r="A78" s="64"/>
      <c r="B78" s="72" t="s">
        <v>312</v>
      </c>
      <c r="C78" s="72" t="s">
        <v>414</v>
      </c>
      <c r="D78" s="63" t="s">
        <v>415</v>
      </c>
      <c r="E78" s="63" t="s">
        <v>323</v>
      </c>
      <c r="F78" s="67">
        <v>7609000</v>
      </c>
      <c r="G78" s="68">
        <f>VLOOKUP(B78,'Escalation Factors'!$C$18:$D$44,2,FALSE)</f>
        <v>1.5242104134164698</v>
      </c>
      <c r="H78" s="67">
        <f t="shared" si="60"/>
        <v>11597717.035685919</v>
      </c>
      <c r="I78" s="66">
        <f t="shared" si="61"/>
        <v>205279.59153164076</v>
      </c>
      <c r="J78" s="67">
        <f t="shared" si="62"/>
        <v>11802996.627217559</v>
      </c>
      <c r="K78" s="241">
        <v>1</v>
      </c>
      <c r="L78" s="67">
        <f t="shared" si="63"/>
        <v>11802996.627217559</v>
      </c>
      <c r="M78" s="255">
        <f t="shared" si="57"/>
        <v>0.23407892834770871</v>
      </c>
      <c r="N78" s="67">
        <f t="shared" si="58"/>
        <v>0</v>
      </c>
      <c r="O78" s="67">
        <f t="shared" si="59"/>
        <v>0</v>
      </c>
      <c r="P78" s="72"/>
    </row>
    <row r="79" spans="1:16" s="14" customFormat="1" ht="13" x14ac:dyDescent="0.3">
      <c r="A79" s="64"/>
      <c r="B79" s="72" t="s">
        <v>312</v>
      </c>
      <c r="C79" s="72" t="s">
        <v>416</v>
      </c>
      <c r="D79" s="63" t="s">
        <v>417</v>
      </c>
      <c r="E79" s="63" t="s">
        <v>323</v>
      </c>
      <c r="F79" s="67">
        <v>12113000</v>
      </c>
      <c r="G79" s="68">
        <f>VLOOKUP(B79,'Escalation Factors'!$C$18:$D$44,2,FALSE)</f>
        <v>1.5242104134164698</v>
      </c>
      <c r="H79" s="67">
        <f t="shared" si="60"/>
        <v>18462760.737713698</v>
      </c>
      <c r="I79" s="66">
        <f t="shared" si="61"/>
        <v>326790.86505753244</v>
      </c>
      <c r="J79" s="67">
        <f t="shared" si="62"/>
        <v>18789551.60277123</v>
      </c>
      <c r="K79" s="241">
        <v>0</v>
      </c>
      <c r="L79" s="67">
        <f t="shared" si="63"/>
        <v>0</v>
      </c>
      <c r="M79" s="255">
        <f t="shared" si="57"/>
        <v>0.23407892834770871</v>
      </c>
      <c r="N79" s="67">
        <f t="shared" si="58"/>
        <v>4398238.1033106623</v>
      </c>
      <c r="O79" s="67">
        <f t="shared" si="59"/>
        <v>14391313.499460567</v>
      </c>
      <c r="P79" s="72"/>
    </row>
    <row r="80" spans="1:16" s="14" customFormat="1" ht="13" x14ac:dyDescent="0.3">
      <c r="A80" s="64"/>
      <c r="B80" s="72" t="s">
        <v>312</v>
      </c>
      <c r="C80" s="72" t="s">
        <v>418</v>
      </c>
      <c r="D80" s="63" t="s">
        <v>419</v>
      </c>
      <c r="E80" s="63" t="s">
        <v>330</v>
      </c>
      <c r="F80" s="67">
        <v>168000</v>
      </c>
      <c r="G80" s="68">
        <f>VLOOKUP(B80,'Escalation Factors'!$C$18:$D$44,2,FALSE)</f>
        <v>1.5242104134164698</v>
      </c>
      <c r="H80" s="67">
        <f t="shared" si="60"/>
        <v>256067.34945396692</v>
      </c>
      <c r="I80" s="66">
        <f t="shared" si="61"/>
        <v>4532.3920853352147</v>
      </c>
      <c r="J80" s="67">
        <f t="shared" si="62"/>
        <v>260599.74153930214</v>
      </c>
      <c r="K80" s="241">
        <v>1</v>
      </c>
      <c r="L80" s="67">
        <f t="shared" si="63"/>
        <v>260599.74153930214</v>
      </c>
      <c r="M80" s="255">
        <v>0</v>
      </c>
      <c r="N80" s="67">
        <f t="shared" si="58"/>
        <v>0</v>
      </c>
      <c r="O80" s="67">
        <f t="shared" si="59"/>
        <v>0</v>
      </c>
      <c r="P80" s="72"/>
    </row>
    <row r="81" spans="1:16" s="14" customFormat="1" ht="13" x14ac:dyDescent="0.3">
      <c r="A81" s="64"/>
      <c r="B81" s="72" t="s">
        <v>312</v>
      </c>
      <c r="C81" s="72" t="s">
        <v>420</v>
      </c>
      <c r="D81" s="63" t="s">
        <v>421</v>
      </c>
      <c r="E81" s="63" t="s">
        <v>330</v>
      </c>
      <c r="F81" s="67">
        <v>2934000</v>
      </c>
      <c r="G81" s="68">
        <f>VLOOKUP(B81,'Escalation Factors'!$C$18:$D$44,2,FALSE)</f>
        <v>1.5242104134164698</v>
      </c>
      <c r="H81" s="67">
        <f t="shared" si="60"/>
        <v>4472033.3529639225</v>
      </c>
      <c r="I81" s="66">
        <f t="shared" si="61"/>
        <v>79154.990347461426</v>
      </c>
      <c r="J81" s="67">
        <f t="shared" si="62"/>
        <v>4551188.3433113843</v>
      </c>
      <c r="K81" s="241">
        <v>0.5</v>
      </c>
      <c r="L81" s="67">
        <f t="shared" si="63"/>
        <v>2275594.1716556922</v>
      </c>
      <c r="M81" s="255">
        <f t="shared" ref="M81:M85" si="69">$M$3</f>
        <v>0.23407892834770871</v>
      </c>
      <c r="N81" s="67">
        <f t="shared" si="58"/>
        <v>532668.64505545632</v>
      </c>
      <c r="O81" s="67">
        <f t="shared" si="59"/>
        <v>1742925.5266002358</v>
      </c>
      <c r="P81" s="72"/>
    </row>
    <row r="82" spans="1:16" s="14" customFormat="1" ht="13" x14ac:dyDescent="0.3">
      <c r="A82" s="64"/>
      <c r="B82" s="72" t="s">
        <v>312</v>
      </c>
      <c r="C82" s="72" t="s">
        <v>422</v>
      </c>
      <c r="D82" s="63" t="s">
        <v>423</v>
      </c>
      <c r="E82" s="63" t="s">
        <v>330</v>
      </c>
      <c r="F82" s="67">
        <v>631000</v>
      </c>
      <c r="G82" s="68">
        <f>VLOOKUP(B82,'Escalation Factors'!$C$18:$D$44,2,FALSE)</f>
        <v>1.5242104134164698</v>
      </c>
      <c r="H82" s="67">
        <f t="shared" si="60"/>
        <v>961776.77086579241</v>
      </c>
      <c r="I82" s="66">
        <f t="shared" si="61"/>
        <v>17023.448844324525</v>
      </c>
      <c r="J82" s="67">
        <f t="shared" si="62"/>
        <v>978800.21971011697</v>
      </c>
      <c r="K82" s="241">
        <v>0.25</v>
      </c>
      <c r="L82" s="67">
        <f t="shared" si="63"/>
        <v>244700.05492752924</v>
      </c>
      <c r="M82" s="255">
        <f t="shared" si="69"/>
        <v>0.23407892834770871</v>
      </c>
      <c r="N82" s="67">
        <f t="shared" si="58"/>
        <v>171837.37987218451</v>
      </c>
      <c r="O82" s="67">
        <f t="shared" si="59"/>
        <v>562262.78491040319</v>
      </c>
      <c r="P82" s="72"/>
    </row>
    <row r="83" spans="1:16" s="14" customFormat="1" ht="13" x14ac:dyDescent="0.3">
      <c r="A83" s="64"/>
      <c r="B83" s="72" t="s">
        <v>312</v>
      </c>
      <c r="C83" s="72" t="s">
        <v>424</v>
      </c>
      <c r="D83" s="63" t="s">
        <v>425</v>
      </c>
      <c r="E83" s="63" t="s">
        <v>330</v>
      </c>
      <c r="F83" s="67">
        <v>607000</v>
      </c>
      <c r="G83" s="68">
        <f>VLOOKUP(B83,'Escalation Factors'!$C$18:$D$44,2,FALSE)</f>
        <v>1.5242104134164698</v>
      </c>
      <c r="H83" s="67">
        <f t="shared" si="60"/>
        <v>925195.72094379715</v>
      </c>
      <c r="I83" s="66">
        <f t="shared" si="61"/>
        <v>16375.96426070521</v>
      </c>
      <c r="J83" s="67">
        <f t="shared" si="62"/>
        <v>941571.68520450231</v>
      </c>
      <c r="K83" s="241">
        <v>0.25</v>
      </c>
      <c r="L83" s="67">
        <f t="shared" si="63"/>
        <v>235392.92130112558</v>
      </c>
      <c r="M83" s="255">
        <f t="shared" si="69"/>
        <v>0.23407892834770871</v>
      </c>
      <c r="N83" s="67">
        <f t="shared" si="58"/>
        <v>165301.56827641203</v>
      </c>
      <c r="O83" s="67">
        <f t="shared" si="59"/>
        <v>540877.19562696479</v>
      </c>
      <c r="P83" s="72"/>
    </row>
    <row r="84" spans="1:16" s="14" customFormat="1" ht="13" x14ac:dyDescent="0.3">
      <c r="A84" s="64"/>
      <c r="B84" s="72" t="s">
        <v>312</v>
      </c>
      <c r="C84" s="72" t="s">
        <v>736</v>
      </c>
      <c r="D84" s="63" t="s">
        <v>737</v>
      </c>
      <c r="E84" s="63" t="s">
        <v>33</v>
      </c>
      <c r="F84" s="67">
        <v>13491000</v>
      </c>
      <c r="G84" s="68">
        <f>VLOOKUP(B84,'Escalation Factors'!$C$18:$D$44,2,FALSE)</f>
        <v>1.5242104134164698</v>
      </c>
      <c r="H84" s="67">
        <f t="shared" si="60"/>
        <v>20563122.687401593</v>
      </c>
      <c r="I84" s="66">
        <f t="shared" si="61"/>
        <v>363967.27156700823</v>
      </c>
      <c r="J84" s="67">
        <f t="shared" si="62"/>
        <v>20927089.958968602</v>
      </c>
      <c r="K84" s="241">
        <v>0.25</v>
      </c>
      <c r="L84" s="67">
        <f t="shared" si="63"/>
        <v>5231772.4897421505</v>
      </c>
      <c r="M84" s="255">
        <f t="shared" si="69"/>
        <v>0.23407892834770871</v>
      </c>
      <c r="N84" s="67">
        <f t="shared" si="58"/>
        <v>3673943.0932735996</v>
      </c>
      <c r="O84" s="67">
        <f t="shared" si="59"/>
        <v>12021374.375952851</v>
      </c>
      <c r="P84" s="72"/>
    </row>
    <row r="85" spans="1:16" s="14" customFormat="1" ht="13" x14ac:dyDescent="0.3">
      <c r="A85" s="64"/>
      <c r="B85" s="72" t="s">
        <v>312</v>
      </c>
      <c r="C85" s="72" t="s">
        <v>426</v>
      </c>
      <c r="D85" s="63" t="s">
        <v>427</v>
      </c>
      <c r="E85" s="63" t="s">
        <v>33</v>
      </c>
      <c r="F85" s="67">
        <v>1090000</v>
      </c>
      <c r="G85" s="68">
        <f>VLOOKUP(B85,'Escalation Factors'!$C$18:$D$44,2,FALSE)</f>
        <v>1.5242104134164698</v>
      </c>
      <c r="H85" s="67">
        <f t="shared" si="60"/>
        <v>1661389.350623952</v>
      </c>
      <c r="I85" s="66">
        <f t="shared" si="61"/>
        <v>29406.591506043951</v>
      </c>
      <c r="J85" s="67">
        <f t="shared" si="62"/>
        <v>1690795.9421299959</v>
      </c>
      <c r="K85" s="241">
        <v>1</v>
      </c>
      <c r="L85" s="67">
        <f t="shared" si="63"/>
        <v>1690795.9421299959</v>
      </c>
      <c r="M85" s="255">
        <f t="shared" si="69"/>
        <v>0.23407892834770871</v>
      </c>
      <c r="N85" s="67">
        <f t="shared" si="58"/>
        <v>0</v>
      </c>
      <c r="O85" s="67">
        <f t="shared" si="59"/>
        <v>0</v>
      </c>
      <c r="P85" s="72"/>
    </row>
    <row r="86" spans="1:16" s="14" customFormat="1" ht="13" x14ac:dyDescent="0.3">
      <c r="A86" s="64"/>
      <c r="B86" s="72" t="s">
        <v>312</v>
      </c>
      <c r="C86" s="72" t="s">
        <v>428</v>
      </c>
      <c r="D86" s="63" t="s">
        <v>429</v>
      </c>
      <c r="E86" s="63" t="s">
        <v>33</v>
      </c>
      <c r="F86" s="67">
        <v>845000</v>
      </c>
      <c r="G86" s="68">
        <f>VLOOKUP(B86,'Escalation Factors'!$C$18:$D$44,2,FALSE)</f>
        <v>1.5242104134164698</v>
      </c>
      <c r="H86" s="67">
        <f t="shared" si="60"/>
        <v>1287957.799336917</v>
      </c>
      <c r="I86" s="66">
        <f t="shared" si="61"/>
        <v>22796.853048263431</v>
      </c>
      <c r="J86" s="67">
        <f t="shared" si="62"/>
        <v>1310754.6523851804</v>
      </c>
      <c r="K86" s="241">
        <v>1</v>
      </c>
      <c r="L86" s="67">
        <f t="shared" si="63"/>
        <v>1310754.6523851804</v>
      </c>
      <c r="M86" s="255">
        <v>0</v>
      </c>
      <c r="N86" s="67">
        <f t="shared" si="58"/>
        <v>0</v>
      </c>
      <c r="O86" s="67">
        <f t="shared" si="59"/>
        <v>0</v>
      </c>
      <c r="P86" s="72"/>
    </row>
    <row r="87" spans="1:16" s="14" customFormat="1" ht="13" x14ac:dyDescent="0.3">
      <c r="A87" s="64"/>
      <c r="B87" s="72" t="s">
        <v>312</v>
      </c>
      <c r="C87" s="72" t="s">
        <v>430</v>
      </c>
      <c r="D87" s="63" t="s">
        <v>431</v>
      </c>
      <c r="E87" s="63" t="s">
        <v>33</v>
      </c>
      <c r="F87" s="67">
        <v>437000</v>
      </c>
      <c r="G87" s="68">
        <f>VLOOKUP(B87,'Escalation Factors'!$C$18:$D$44,2,FALSE)</f>
        <v>1.5242104134164698</v>
      </c>
      <c r="H87" s="67">
        <f t="shared" si="60"/>
        <v>666079.95066299732</v>
      </c>
      <c r="I87" s="66">
        <f t="shared" si="61"/>
        <v>11789.615126735052</v>
      </c>
      <c r="J87" s="67">
        <f t="shared" si="62"/>
        <v>677869.56578973238</v>
      </c>
      <c r="K87" s="241">
        <v>1</v>
      </c>
      <c r="L87" s="67">
        <f t="shared" si="63"/>
        <v>677869.56578973238</v>
      </c>
      <c r="M87" s="255">
        <v>0</v>
      </c>
      <c r="N87" s="67">
        <f t="shared" si="58"/>
        <v>0</v>
      </c>
      <c r="O87" s="67">
        <f t="shared" si="59"/>
        <v>0</v>
      </c>
      <c r="P87" s="72"/>
    </row>
    <row r="88" spans="1:16" s="14" customFormat="1" ht="13" x14ac:dyDescent="0.3">
      <c r="A88" s="64"/>
      <c r="B88" s="72" t="s">
        <v>312</v>
      </c>
      <c r="C88" s="72" t="s">
        <v>432</v>
      </c>
      <c r="D88" s="63" t="s">
        <v>433</v>
      </c>
      <c r="E88" s="63" t="s">
        <v>33</v>
      </c>
      <c r="F88" s="67">
        <v>500000</v>
      </c>
      <c r="G88" s="68">
        <f>VLOOKUP(B88,'Escalation Factors'!$C$18:$D$44,2,FALSE)</f>
        <v>1.5242104134164698</v>
      </c>
      <c r="H88" s="67">
        <f t="shared" si="60"/>
        <v>762105.20670823485</v>
      </c>
      <c r="I88" s="66">
        <f t="shared" si="61"/>
        <v>13489.262158735757</v>
      </c>
      <c r="J88" s="67">
        <f t="shared" ref="J88:J90" si="70">H88+I88</f>
        <v>775594.46886697062</v>
      </c>
      <c r="K88" s="241">
        <v>1</v>
      </c>
      <c r="L88" s="67">
        <f t="shared" si="56"/>
        <v>775594.46886697062</v>
      </c>
      <c r="M88" s="255">
        <v>0</v>
      </c>
      <c r="N88" s="67">
        <f t="shared" si="58"/>
        <v>0</v>
      </c>
      <c r="O88" s="67">
        <f t="shared" si="59"/>
        <v>0</v>
      </c>
      <c r="P88" s="72"/>
    </row>
    <row r="89" spans="1:16" s="14" customFormat="1" ht="13" x14ac:dyDescent="0.3">
      <c r="A89" s="64"/>
      <c r="B89" s="72" t="s">
        <v>312</v>
      </c>
      <c r="C89" s="72" t="s">
        <v>400</v>
      </c>
      <c r="D89" s="63" t="s">
        <v>435</v>
      </c>
      <c r="E89" s="63" t="s">
        <v>23</v>
      </c>
      <c r="F89" s="67">
        <v>25142000</v>
      </c>
      <c r="G89" s="68">
        <f>VLOOKUP(B89,'Escalation Factors'!$C$18:$D$44,2,FALSE)</f>
        <v>1.5242104134164698</v>
      </c>
      <c r="H89" s="67">
        <f t="shared" ref="H89" si="71">F89*G89</f>
        <v>38321698.214116886</v>
      </c>
      <c r="I89" s="66">
        <f t="shared" ref="I89" si="72">H89*$I$3</f>
        <v>678294.05838986894</v>
      </c>
      <c r="J89" s="67">
        <f t="shared" ref="J89" si="73">H89+I89</f>
        <v>38999992.272506759</v>
      </c>
      <c r="K89" s="241">
        <v>0.05</v>
      </c>
      <c r="L89" s="67">
        <f t="shared" ref="L89" si="74">J89*K89</f>
        <v>1949999.6136253381</v>
      </c>
      <c r="M89" s="255">
        <f t="shared" ref="M89:M90" si="75">$M$3</f>
        <v>0.23407892834770871</v>
      </c>
      <c r="N89" s="67">
        <f t="shared" ref="N89" si="76">(J89-L89)*M89</f>
        <v>8672622.5768814366</v>
      </c>
      <c r="O89" s="67">
        <f t="shared" si="59"/>
        <v>28377370.08199998</v>
      </c>
      <c r="P89" s="72"/>
    </row>
    <row r="90" spans="1:16" s="14" customFormat="1" ht="13" x14ac:dyDescent="0.3">
      <c r="A90" s="64"/>
      <c r="B90" s="72" t="s">
        <v>312</v>
      </c>
      <c r="C90" s="72" t="s">
        <v>854</v>
      </c>
      <c r="D90" s="63" t="s">
        <v>855</v>
      </c>
      <c r="E90" s="63" t="s">
        <v>23</v>
      </c>
      <c r="F90" s="67">
        <v>160750000</v>
      </c>
      <c r="G90" s="68">
        <f>VLOOKUP(B90,'Escalation Factors'!$C$18:$D$44,2,FALSE)</f>
        <v>1.5242104134164698</v>
      </c>
      <c r="H90" s="67">
        <f t="shared" si="60"/>
        <v>245016823.95669752</v>
      </c>
      <c r="I90" s="66">
        <f t="shared" si="61"/>
        <v>4336797.7840335462</v>
      </c>
      <c r="J90" s="67">
        <f t="shared" si="70"/>
        <v>249353621.74073106</v>
      </c>
      <c r="K90" s="241">
        <f>1-21.0216108268%</f>
        <v>0.78978389173200003</v>
      </c>
      <c r="L90" s="67">
        <f t="shared" si="56"/>
        <v>196935473.79586363</v>
      </c>
      <c r="M90" s="255">
        <f t="shared" si="75"/>
        <v>0.23407892834770871</v>
      </c>
      <c r="N90" s="67">
        <f t="shared" si="58"/>
        <v>12269983.896906218</v>
      </c>
      <c r="O90" s="67">
        <f>J90-L90-N90</f>
        <v>40148164.047961213</v>
      </c>
      <c r="P90" s="72"/>
    </row>
    <row r="91" spans="1:16" s="14" customFormat="1" ht="13" x14ac:dyDescent="0.3">
      <c r="A91" s="64"/>
      <c r="B91" s="73" t="s">
        <v>312</v>
      </c>
      <c r="C91" s="73"/>
      <c r="D91" s="74"/>
      <c r="E91" s="209" t="s">
        <v>13</v>
      </c>
      <c r="F91" s="100">
        <f>SUBTOTAL(9,F73:F90)</f>
        <v>342224000</v>
      </c>
      <c r="G91" s="100"/>
      <c r="H91" s="100">
        <f>SUBTOTAL(9,H73:H90)</f>
        <v>521621384.521038</v>
      </c>
      <c r="I91" s="100">
        <f>SUBTOTAL(9,I73:I90)</f>
        <v>9232698.5060223714</v>
      </c>
      <c r="J91" s="100">
        <f>SUBTOTAL(9,J73:J90)</f>
        <v>530854083.02706033</v>
      </c>
      <c r="K91" s="248"/>
      <c r="L91" s="100">
        <f>SUBTOTAL(9,L73:L90)</f>
        <v>334616201.70139599</v>
      </c>
      <c r="M91" s="257"/>
      <c r="N91" s="100">
        <f>SUBTOTAL(9,N73:N90)</f>
        <v>45935152.961936347</v>
      </c>
      <c r="O91" s="100">
        <f>SUBTOTAL(9,O73:O90)</f>
        <v>150302728.36372799</v>
      </c>
      <c r="P91" s="73" t="s">
        <v>312</v>
      </c>
    </row>
    <row r="92" spans="1:16" s="14" customFormat="1" ht="13" x14ac:dyDescent="0.3">
      <c r="A92" s="64"/>
      <c r="B92" s="73"/>
      <c r="C92" s="73"/>
      <c r="D92" s="74"/>
      <c r="E92" s="74"/>
      <c r="F92" s="100"/>
      <c r="G92" s="100"/>
      <c r="H92" s="100"/>
      <c r="I92" s="100"/>
      <c r="J92" s="100"/>
      <c r="K92" s="248"/>
      <c r="L92" s="100"/>
      <c r="M92" s="257"/>
      <c r="N92" s="100"/>
      <c r="O92" s="100"/>
    </row>
    <row r="93" spans="1:16" s="2" customFormat="1" ht="13" x14ac:dyDescent="0.3">
      <c r="A93" s="4"/>
      <c r="B93" s="2" t="s">
        <v>14</v>
      </c>
      <c r="F93" s="13">
        <f>SUBTOTAL(9,F7:F91)</f>
        <v>746627356.10152507</v>
      </c>
      <c r="G93" s="13"/>
      <c r="H93" s="13">
        <f>SUBTOTAL(9,H7:H91)</f>
        <v>979151088.69273758</v>
      </c>
      <c r="I93" s="13">
        <f>SUBTOTAL(9,I7:I91)</f>
        <v>17167190.030085452</v>
      </c>
      <c r="J93" s="13">
        <f>SUBTOTAL(9,J7:J91)</f>
        <v>996318278.72282314</v>
      </c>
      <c r="K93" s="249"/>
      <c r="L93" s="13">
        <f>SUBTOTAL(9,L7:L91)</f>
        <v>477242235.65241688</v>
      </c>
      <c r="M93" s="258"/>
      <c r="N93" s="13">
        <f>SUBTOTAL(9,N7:N91)</f>
        <v>119338750.37158979</v>
      </c>
      <c r="O93" s="13">
        <f>SUBTOTAL(9,O7:O91)</f>
        <v>399737292.69881654</v>
      </c>
      <c r="P93" s="2" t="s">
        <v>824</v>
      </c>
    </row>
    <row r="94" spans="1:16" ht="13" x14ac:dyDescent="0.3">
      <c r="H94" s="13">
        <f>H93-(H91/5)</f>
        <v>874826811.78852999</v>
      </c>
      <c r="I94" s="13">
        <f>I93-(I91/5)</f>
        <v>15320650.328880977</v>
      </c>
      <c r="J94" s="13">
        <f>J93-(J91/5)</f>
        <v>890147462.11741114</v>
      </c>
      <c r="L94" s="13">
        <f>L93-(L91/5)</f>
        <v>410318995.31213766</v>
      </c>
      <c r="N94" s="13">
        <f>N93-(N91/5)</f>
        <v>110151719.77920252</v>
      </c>
      <c r="O94" s="13">
        <f>O93-(O91/5)</f>
        <v>369676747.02607095</v>
      </c>
      <c r="P94" s="2" t="s">
        <v>857</v>
      </c>
    </row>
    <row r="95" spans="1:16" x14ac:dyDescent="0.25">
      <c r="D95" s="42"/>
      <c r="E95" s="42"/>
      <c r="F95" s="1"/>
    </row>
    <row r="96" spans="1:16" x14ac:dyDescent="0.25">
      <c r="D96" s="42"/>
      <c r="E96" s="42"/>
    </row>
    <row r="97" spans="4:14" x14ac:dyDescent="0.25">
      <c r="D97" s="42"/>
      <c r="E97" s="42"/>
      <c r="J97" s="1"/>
    </row>
    <row r="98" spans="4:14" x14ac:dyDescent="0.25">
      <c r="D98" s="42"/>
      <c r="E98" s="42"/>
      <c r="L98" s="1"/>
      <c r="N98" s="1"/>
    </row>
    <row r="99" spans="4:14" x14ac:dyDescent="0.25">
      <c r="D99" s="42"/>
      <c r="E99" s="42"/>
      <c r="F99" s="1"/>
      <c r="J99" s="1"/>
      <c r="L99" s="1"/>
      <c r="N99" s="1"/>
    </row>
    <row r="100" spans="4:14" x14ac:dyDescent="0.25">
      <c r="D100" s="42"/>
      <c r="E100" s="42"/>
      <c r="F100" s="1"/>
      <c r="L100" s="1"/>
    </row>
    <row r="101" spans="4:14" x14ac:dyDescent="0.25">
      <c r="D101" s="42"/>
      <c r="E101" s="42"/>
      <c r="L101" s="1"/>
    </row>
  </sheetData>
  <phoneticPr fontId="51" type="noConversion"/>
  <pageMargins left="0.7" right="0.7" top="0.75" bottom="0.75" header="0.3" footer="0.3"/>
  <pageSetup paperSize="3"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A90E6"/>
    <pageSetUpPr fitToPage="1"/>
  </sheetPr>
  <dimension ref="A1:O110"/>
  <sheetViews>
    <sheetView topLeftCell="A73" zoomScale="75" zoomScaleNormal="75" workbookViewId="0">
      <selection activeCell="K37" sqref="K37"/>
    </sheetView>
  </sheetViews>
  <sheetFormatPr defaultRowHeight="12.5" x14ac:dyDescent="0.25"/>
  <cols>
    <col min="1" max="1" width="10.453125" customWidth="1"/>
    <col min="2" max="2" width="14.81640625" style="149" bestFit="1" customWidth="1"/>
    <col min="3" max="3" width="10.81640625" style="57" customWidth="1"/>
    <col min="4" max="4" width="11.81640625" style="9" customWidth="1"/>
    <col min="5" max="5" width="13.81640625" bestFit="1" customWidth="1"/>
    <col min="6" max="6" width="13.81640625" style="24" bestFit="1" customWidth="1"/>
    <col min="7" max="8" width="12.54296875" style="24" bestFit="1" customWidth="1"/>
    <col min="9" max="9" width="13.453125" style="25" bestFit="1" customWidth="1"/>
    <col min="10" max="10" width="11.1796875" style="25" bestFit="1" customWidth="1"/>
    <col min="11" max="11" width="16.453125" style="26" bestFit="1" customWidth="1"/>
    <col min="12" max="12" width="15.1796875" style="26" bestFit="1" customWidth="1"/>
    <col min="14" max="14" width="14.1796875" bestFit="1" customWidth="1"/>
  </cols>
  <sheetData>
    <row r="1" spans="1:15" s="46" customFormat="1" ht="23" x14ac:dyDescent="0.5">
      <c r="A1" s="45" t="s">
        <v>813</v>
      </c>
      <c r="B1" s="148"/>
      <c r="C1" s="56"/>
      <c r="D1" s="47"/>
      <c r="E1" s="48"/>
      <c r="F1" s="94"/>
      <c r="G1" s="49"/>
      <c r="H1" s="49"/>
      <c r="I1" s="50"/>
      <c r="J1" s="132"/>
      <c r="K1" s="51"/>
      <c r="L1" s="51"/>
    </row>
    <row r="2" spans="1:15" s="170" customFormat="1" ht="18" x14ac:dyDescent="0.4">
      <c r="A2" s="3" t="s">
        <v>825</v>
      </c>
      <c r="B2" s="174"/>
      <c r="C2" s="175"/>
      <c r="D2" s="171"/>
      <c r="E2" s="176"/>
      <c r="F2" s="226"/>
      <c r="G2" s="227"/>
      <c r="H2" s="227"/>
      <c r="I2" s="228"/>
      <c r="J2" s="229"/>
      <c r="K2" s="230"/>
      <c r="L2" s="230"/>
    </row>
    <row r="3" spans="1:15" s="170" customFormat="1" ht="18" x14ac:dyDescent="0.4">
      <c r="A3" s="3" t="s">
        <v>852</v>
      </c>
      <c r="B3" s="174"/>
      <c r="C3" s="175"/>
      <c r="D3" s="171"/>
      <c r="E3" s="176"/>
      <c r="F3" s="226"/>
      <c r="G3" s="227"/>
      <c r="H3" s="227"/>
      <c r="I3" s="228"/>
      <c r="J3" s="229"/>
      <c r="K3" s="230"/>
      <c r="L3" s="230"/>
    </row>
    <row r="4" spans="1:15" s="170" customFormat="1" ht="18" x14ac:dyDescent="0.4">
      <c r="A4" s="3" t="s">
        <v>851</v>
      </c>
      <c r="B4" s="174"/>
      <c r="C4" s="175"/>
      <c r="D4" s="171"/>
      <c r="E4" s="176"/>
      <c r="F4" s="227"/>
      <c r="G4" s="227"/>
      <c r="H4" s="227"/>
      <c r="I4" s="228"/>
      <c r="J4" s="228"/>
      <c r="K4" s="230"/>
      <c r="L4" s="230"/>
      <c r="N4" s="186" t="s">
        <v>749</v>
      </c>
    </row>
    <row r="5" spans="1:15" ht="13" x14ac:dyDescent="0.3">
      <c r="E5" s="106" t="s">
        <v>22</v>
      </c>
      <c r="F5" s="106" t="s">
        <v>22</v>
      </c>
      <c r="G5" s="36" t="s">
        <v>21</v>
      </c>
      <c r="H5" s="36" t="s">
        <v>21</v>
      </c>
      <c r="I5" s="191" t="s">
        <v>780</v>
      </c>
      <c r="N5" s="269">
        <f>'Financial Assumptions'!H8</f>
        <v>2.9899999999999999E-2</v>
      </c>
      <c r="O5" s="177" t="s">
        <v>723</v>
      </c>
    </row>
    <row r="6" spans="1:15" ht="13" x14ac:dyDescent="0.3">
      <c r="A6" s="7"/>
      <c r="B6" s="150"/>
      <c r="C6" s="58"/>
      <c r="D6" s="29" t="s">
        <v>461</v>
      </c>
      <c r="E6" s="30" t="s">
        <v>15</v>
      </c>
      <c r="F6" s="31" t="s">
        <v>16</v>
      </c>
      <c r="H6" s="31" t="s">
        <v>16</v>
      </c>
      <c r="J6" s="32" t="s">
        <v>778</v>
      </c>
      <c r="K6" s="32" t="s">
        <v>16</v>
      </c>
      <c r="L6" s="32" t="s">
        <v>7</v>
      </c>
      <c r="M6" s="8"/>
      <c r="N6" s="269">
        <f>'Financial Assumptions'!H11</f>
        <v>3.0099999999999998E-2</v>
      </c>
      <c r="O6" s="177" t="s">
        <v>724</v>
      </c>
    </row>
    <row r="7" spans="1:15" ht="13" x14ac:dyDescent="0.3">
      <c r="A7" s="108" t="s">
        <v>5</v>
      </c>
      <c r="B7" s="180" t="s">
        <v>459</v>
      </c>
      <c r="C7" s="181" t="s">
        <v>460</v>
      </c>
      <c r="D7" s="182" t="s">
        <v>18</v>
      </c>
      <c r="E7" s="183" t="s">
        <v>19</v>
      </c>
      <c r="F7" s="184" t="s">
        <v>6</v>
      </c>
      <c r="G7" s="184" t="s">
        <v>1</v>
      </c>
      <c r="H7" s="184" t="s">
        <v>20</v>
      </c>
      <c r="I7" s="107" t="s">
        <v>776</v>
      </c>
      <c r="J7" s="107" t="s">
        <v>777</v>
      </c>
      <c r="K7" s="185" t="s">
        <v>17</v>
      </c>
      <c r="L7" s="185" t="s">
        <v>779</v>
      </c>
      <c r="M7" s="8"/>
    </row>
    <row r="8" spans="1:15" s="19" customFormat="1" ht="14" x14ac:dyDescent="0.3">
      <c r="A8" s="39">
        <v>2014</v>
      </c>
      <c r="B8" s="147"/>
      <c r="C8" s="89"/>
      <c r="D8" s="54"/>
      <c r="E8" s="192">
        <v>5316501.18</v>
      </c>
      <c r="F8" s="193"/>
      <c r="G8" s="35"/>
      <c r="H8" s="35"/>
      <c r="I8" s="34"/>
      <c r="J8" s="34"/>
      <c r="K8" s="35"/>
      <c r="L8" s="34"/>
      <c r="M8" s="18"/>
      <c r="N8" s="186" t="s">
        <v>750</v>
      </c>
    </row>
    <row r="9" spans="1:15" s="19" customFormat="1" ht="14" x14ac:dyDescent="0.3">
      <c r="A9" s="137">
        <v>2014</v>
      </c>
      <c r="B9" s="152"/>
      <c r="C9" s="60"/>
      <c r="D9" s="55"/>
      <c r="E9" s="194">
        <f>SUBTOTAL(9,E8)</f>
        <v>5316501.18</v>
      </c>
      <c r="F9" s="193">
        <f>E9</f>
        <v>5316501.18</v>
      </c>
      <c r="G9" s="35"/>
      <c r="H9" s="35">
        <f>G9</f>
        <v>0</v>
      </c>
      <c r="I9" s="34">
        <f>F9-H9</f>
        <v>5316501.18</v>
      </c>
      <c r="J9" s="34">
        <f>I9*(IF(F9-H9&gt;0,$N$9,$N$5))</f>
        <v>67253.739927000002</v>
      </c>
      <c r="K9" s="133">
        <f>(J9)</f>
        <v>67253.739927000002</v>
      </c>
      <c r="L9" s="34">
        <f>I9+K9</f>
        <v>5383754.9199270001</v>
      </c>
      <c r="M9" s="18"/>
      <c r="N9" s="269">
        <f>'Financial Assumptions'!H14</f>
        <v>1.265E-2</v>
      </c>
    </row>
    <row r="10" spans="1:15" x14ac:dyDescent="0.25">
      <c r="A10" s="39">
        <v>2015</v>
      </c>
      <c r="B10" s="147"/>
      <c r="C10" s="89"/>
      <c r="D10" s="54"/>
      <c r="E10" s="192">
        <v>4373810.3099999996</v>
      </c>
      <c r="F10" s="193"/>
      <c r="G10" s="35"/>
      <c r="H10" s="35"/>
      <c r="I10" s="34"/>
      <c r="J10" s="34"/>
      <c r="K10" s="35"/>
      <c r="L10" s="34"/>
      <c r="M10" s="8"/>
    </row>
    <row r="11" spans="1:15" x14ac:dyDescent="0.25">
      <c r="A11" s="137">
        <v>2015</v>
      </c>
      <c r="B11" s="152"/>
      <c r="C11" s="60"/>
      <c r="D11" s="55"/>
      <c r="E11" s="194">
        <f>SUBTOTAL(9,E10)</f>
        <v>4373810.3099999996</v>
      </c>
      <c r="F11" s="193">
        <f>F9+E11</f>
        <v>9690311.4899999984</v>
      </c>
      <c r="G11" s="35">
        <f>'Wastewater - Phase Costs'!O10</f>
        <v>6607344.6600000001</v>
      </c>
      <c r="H11" s="35">
        <f>G11</f>
        <v>6607344.6600000001</v>
      </c>
      <c r="I11" s="34">
        <f>F11-H11</f>
        <v>3082966.8299999982</v>
      </c>
      <c r="J11" s="34">
        <f>I11*(IF(L9&gt;0,$N$9,$N$5))</f>
        <v>38999.530399499978</v>
      </c>
      <c r="K11" s="133">
        <f>(1+(IF(L9&gt;0,$N$9,$N$5)))*K9+J11</f>
        <v>107104.03013657653</v>
      </c>
      <c r="L11" s="34">
        <f>I11+K11</f>
        <v>3190070.8601365746</v>
      </c>
      <c r="M11" s="8"/>
    </row>
    <row r="12" spans="1:15" ht="13" x14ac:dyDescent="0.3">
      <c r="A12" s="39">
        <v>2016</v>
      </c>
      <c r="B12" s="147"/>
      <c r="C12" s="89"/>
      <c r="D12" s="54"/>
      <c r="E12" s="192">
        <v>8759285.5399999991</v>
      </c>
      <c r="F12" s="193"/>
      <c r="G12" s="35"/>
      <c r="H12" s="35"/>
      <c r="I12" s="195"/>
      <c r="J12" s="34"/>
      <c r="K12" s="35"/>
      <c r="L12" s="34"/>
      <c r="M12" s="8"/>
    </row>
    <row r="13" spans="1:15" x14ac:dyDescent="0.25">
      <c r="A13" s="137">
        <v>2016</v>
      </c>
      <c r="B13" s="152"/>
      <c r="C13" s="60"/>
      <c r="D13" s="55"/>
      <c r="E13" s="194">
        <f>SUBTOTAL(9,E12)</f>
        <v>8759285.5399999991</v>
      </c>
      <c r="F13" s="193">
        <f>F11+E13</f>
        <v>18449597.029999997</v>
      </c>
      <c r="G13" s="35"/>
      <c r="H13" s="35">
        <f>G13+H11</f>
        <v>6607344.6600000001</v>
      </c>
      <c r="I13" s="34">
        <f>F13-H13</f>
        <v>11842252.369999997</v>
      </c>
      <c r="J13" s="34">
        <f>I13*(IF(L11&gt;0,$N$9,$N$5))</f>
        <v>149804.49248049996</v>
      </c>
      <c r="K13" s="133">
        <f>(1+(IF(L11&gt;0,$N$9,$N$5)))*K11+J13</f>
        <v>258263.38859830418</v>
      </c>
      <c r="L13" s="34">
        <f>I13+K13</f>
        <v>12100515.758598302</v>
      </c>
      <c r="M13" s="8"/>
    </row>
    <row r="14" spans="1:15" x14ac:dyDescent="0.25">
      <c r="A14" s="39">
        <v>2017</v>
      </c>
      <c r="B14" s="147"/>
      <c r="C14" s="89"/>
      <c r="D14" s="54"/>
      <c r="E14" s="192">
        <v>10075029.32</v>
      </c>
      <c r="F14" s="193"/>
      <c r="G14" s="35"/>
      <c r="H14" s="35"/>
      <c r="I14" s="34"/>
      <c r="J14" s="34"/>
      <c r="K14" s="35"/>
      <c r="L14" s="34"/>
      <c r="M14" s="8"/>
    </row>
    <row r="15" spans="1:15" x14ac:dyDescent="0.25">
      <c r="A15" s="137">
        <v>2017</v>
      </c>
      <c r="B15" s="152"/>
      <c r="C15" s="60"/>
      <c r="D15" s="55"/>
      <c r="E15" s="194">
        <f>SUBTOTAL(9,E14)</f>
        <v>10075029.32</v>
      </c>
      <c r="F15" s="193">
        <f>F13+E15</f>
        <v>28524626.349999998</v>
      </c>
      <c r="G15" s="35"/>
      <c r="H15" s="35">
        <f>G15+H13</f>
        <v>6607344.6600000001</v>
      </c>
      <c r="I15" s="34">
        <f>F15-H15</f>
        <v>21917281.689999998</v>
      </c>
      <c r="J15" s="34">
        <f>I15*(IF(L13&gt;0,$N$9,$N$5))</f>
        <v>277253.61337849998</v>
      </c>
      <c r="K15" s="133">
        <f>(1+(IF(L13&gt;0,$N$9,$N$5)))*K13+J15</f>
        <v>538784.03384257271</v>
      </c>
      <c r="L15" s="34">
        <f>I15+K15</f>
        <v>22456065.723842569</v>
      </c>
      <c r="M15" s="8"/>
    </row>
    <row r="16" spans="1:15" x14ac:dyDescent="0.25">
      <c r="A16" s="39">
        <v>2018</v>
      </c>
      <c r="B16" s="147"/>
      <c r="C16" s="89"/>
      <c r="D16" s="54"/>
      <c r="E16" s="192">
        <v>12800981.52</v>
      </c>
      <c r="F16" s="193"/>
      <c r="G16" s="35"/>
      <c r="H16" s="35"/>
      <c r="I16" s="34"/>
      <c r="J16" s="34"/>
      <c r="K16" s="35"/>
      <c r="L16" s="34"/>
      <c r="M16" s="8"/>
    </row>
    <row r="17" spans="1:13" x14ac:dyDescent="0.25">
      <c r="A17" s="137">
        <v>2018</v>
      </c>
      <c r="B17" s="152"/>
      <c r="C17" s="60"/>
      <c r="D17" s="55"/>
      <c r="E17" s="194">
        <f>SUBTOTAL(9,E16)</f>
        <v>12800981.52</v>
      </c>
      <c r="F17" s="193">
        <f>F15+E17</f>
        <v>41325607.869999997</v>
      </c>
      <c r="G17" s="35">
        <f>'Wastewater - Phase Costs'!O16</f>
        <v>2646002.2200000002</v>
      </c>
      <c r="H17" s="35">
        <f>G17+H15</f>
        <v>9253346.8800000008</v>
      </c>
      <c r="I17" s="34">
        <f>F17-H17</f>
        <v>32072260.989999995</v>
      </c>
      <c r="J17" s="34">
        <f>I17*(IF(L15&gt;0,$N$9,$N$5))</f>
        <v>405714.10152349994</v>
      </c>
      <c r="K17" s="133">
        <f>(1+(IF(L15&gt;0,$N$9,$N$5)))*K15+J17</f>
        <v>951313.75339418126</v>
      </c>
      <c r="L17" s="34">
        <f>I17+K17</f>
        <v>33023574.743394177</v>
      </c>
      <c r="M17" s="8"/>
    </row>
    <row r="18" spans="1:13" ht="13" x14ac:dyDescent="0.3">
      <c r="A18" s="39">
        <v>2019</v>
      </c>
      <c r="B18" s="147">
        <f>'Population Projections'!F5/5</f>
        <v>472.8</v>
      </c>
      <c r="C18" s="89" t="s">
        <v>444</v>
      </c>
      <c r="D18" s="54">
        <f>VLOOKUP(A18,'Escalation Factors'!$E$17:$F$44,2,FALSE)</f>
        <v>1</v>
      </c>
      <c r="E18" s="102">
        <f>B18*D18*'Wastewater - Charge'!$D$40</f>
        <v>2520255.7736701383</v>
      </c>
      <c r="F18" s="103"/>
      <c r="G18" s="34"/>
      <c r="H18" s="34"/>
      <c r="I18" s="195"/>
      <c r="J18" s="34"/>
      <c r="K18" s="35"/>
      <c r="L18" s="34"/>
      <c r="M18" s="8"/>
    </row>
    <row r="19" spans="1:13" x14ac:dyDescent="0.25">
      <c r="A19" s="39">
        <v>2019</v>
      </c>
      <c r="B19" s="147">
        <f>'Population Projections'!G5/5</f>
        <v>1345.6</v>
      </c>
      <c r="C19" s="89" t="s">
        <v>445</v>
      </c>
      <c r="D19" s="54">
        <f>VLOOKUP(A19,'Escalation Factors'!$E$17:$F$44,2,FALSE)</f>
        <v>1</v>
      </c>
      <c r="E19" s="102">
        <f>B19*D19*'Wastewater - Charge'!$D$42</f>
        <v>4817490.201507506</v>
      </c>
      <c r="F19" s="103"/>
      <c r="G19" s="34"/>
      <c r="H19" s="34"/>
      <c r="I19" s="34"/>
      <c r="J19" s="34"/>
      <c r="K19" s="35"/>
      <c r="L19" s="34"/>
      <c r="M19" s="8"/>
    </row>
    <row r="20" spans="1:13" x14ac:dyDescent="0.25">
      <c r="A20" s="39">
        <v>2019</v>
      </c>
      <c r="B20" s="147">
        <f>'Population Projections'!J5/5</f>
        <v>1746202.6</v>
      </c>
      <c r="C20" s="89" t="s">
        <v>446</v>
      </c>
      <c r="D20" s="54">
        <f>VLOOKUP(A20,'Escalation Factors'!$E$17:$F$44,2,FALSE)</f>
        <v>1</v>
      </c>
      <c r="E20" s="102">
        <f>B20*D20*'Wastewater - Charge'!$D$48</f>
        <v>4267893.7057562796</v>
      </c>
      <c r="F20" s="103"/>
      <c r="G20" s="35"/>
      <c r="H20" s="34"/>
      <c r="I20" s="34"/>
      <c r="J20" s="34"/>
      <c r="K20" s="35"/>
      <c r="L20" s="34"/>
      <c r="M20" s="8"/>
    </row>
    <row r="21" spans="1:13" x14ac:dyDescent="0.25">
      <c r="A21" s="137">
        <v>2019</v>
      </c>
      <c r="B21" s="152"/>
      <c r="C21" s="60"/>
      <c r="D21" s="55"/>
      <c r="E21" s="101">
        <f>SUBTOTAL(9,E18:E20)</f>
        <v>11605639.680933923</v>
      </c>
      <c r="F21" s="103">
        <f>F17+E21</f>
        <v>52931247.55093392</v>
      </c>
      <c r="G21" s="35">
        <f>'Wastewater - Phase Costs'!$O$35/2</f>
        <v>45482657.764631376</v>
      </c>
      <c r="H21" s="34">
        <f>G21+H17</f>
        <v>54736004.644631378</v>
      </c>
      <c r="I21" s="34">
        <f>F21-H21</f>
        <v>-1804757.0936974585</v>
      </c>
      <c r="J21" s="34">
        <f>I21*(IF(L17&gt;0,$N$9,$N$6))</f>
        <v>-22830.177235272851</v>
      </c>
      <c r="K21" s="133">
        <f>(1+(IF(L17&gt;0,$N$9,$N$6)))*K17+J21</f>
        <v>940517.6951393449</v>
      </c>
      <c r="L21" s="34">
        <f>I21+K21</f>
        <v>-864239.39855811361</v>
      </c>
      <c r="M21" s="8"/>
    </row>
    <row r="22" spans="1:13" x14ac:dyDescent="0.25">
      <c r="A22" s="39">
        <v>2020</v>
      </c>
      <c r="B22" s="147">
        <f>'Population Projections'!F5/5</f>
        <v>472.8</v>
      </c>
      <c r="C22" s="89" t="s">
        <v>444</v>
      </c>
      <c r="D22" s="54">
        <f>VLOOKUP(A22,'Escalation Factors'!$E$17:$F$44,2,FALSE)</f>
        <v>1.0149999999999999</v>
      </c>
      <c r="E22" s="102">
        <f>B22*D22*'Wastewater - Charge'!$D$40</f>
        <v>2558059.6102751899</v>
      </c>
      <c r="F22" s="103"/>
      <c r="G22" s="35"/>
      <c r="H22" s="34"/>
      <c r="I22" s="34"/>
      <c r="J22" s="34"/>
      <c r="K22" s="35"/>
      <c r="L22" s="34"/>
      <c r="M22" s="8"/>
    </row>
    <row r="23" spans="1:13" x14ac:dyDescent="0.25">
      <c r="A23" s="39">
        <v>2020</v>
      </c>
      <c r="B23" s="147">
        <f>'Population Projections'!G5/5</f>
        <v>1345.6</v>
      </c>
      <c r="C23" s="89" t="s">
        <v>445</v>
      </c>
      <c r="D23" s="54">
        <f>VLOOKUP(A23,'Escalation Factors'!$E$17:$F$44,2,FALSE)</f>
        <v>1.0149999999999999</v>
      </c>
      <c r="E23" s="102">
        <f>B23*D23*'Wastewater - Charge'!$D$42</f>
        <v>4889752.5545301186</v>
      </c>
      <c r="F23" s="103"/>
      <c r="G23" s="35"/>
      <c r="H23" s="34"/>
      <c r="I23" s="34"/>
      <c r="J23" s="34"/>
      <c r="K23" s="35"/>
      <c r="L23" s="34"/>
      <c r="M23" s="8"/>
    </row>
    <row r="24" spans="1:13" x14ac:dyDescent="0.25">
      <c r="A24" s="39">
        <v>2020</v>
      </c>
      <c r="B24" s="147">
        <f>'Population Projections'!J5/5</f>
        <v>1746202.6</v>
      </c>
      <c r="C24" s="89" t="s">
        <v>446</v>
      </c>
      <c r="D24" s="54">
        <f>VLOOKUP(A24,'Escalation Factors'!$E$17:$F$44,2,FALSE)</f>
        <v>1.0149999999999999</v>
      </c>
      <c r="E24" s="102">
        <f>B24*D24*'Wastewater - Charge'!$D$48</f>
        <v>4331912.1113426229</v>
      </c>
      <c r="F24" s="103"/>
      <c r="G24" s="35"/>
      <c r="H24" s="34"/>
      <c r="I24" s="34"/>
      <c r="J24" s="34"/>
      <c r="K24" s="35"/>
      <c r="L24" s="34"/>
      <c r="M24" s="8"/>
    </row>
    <row r="25" spans="1:13" x14ac:dyDescent="0.25">
      <c r="A25" s="137">
        <v>2020</v>
      </c>
      <c r="B25" s="152"/>
      <c r="C25" s="60"/>
      <c r="D25" s="55"/>
      <c r="E25" s="101">
        <f>SUBTOTAL(9,E22:E24)</f>
        <v>11779724.276147932</v>
      </c>
      <c r="F25" s="103">
        <f>F21+E25</f>
        <v>64710971.827081852</v>
      </c>
      <c r="G25" s="35">
        <f>'Wastewater - Phase Costs'!$O$35/2</f>
        <v>45482657.764631376</v>
      </c>
      <c r="H25" s="34">
        <f>G25+H21</f>
        <v>100218662.40926275</v>
      </c>
      <c r="I25" s="34">
        <f>F25-H25</f>
        <v>-35507690.582180895</v>
      </c>
      <c r="J25" s="34">
        <f>I25*(IF(L21&gt;0,$N$9,$N$6))</f>
        <v>-1068781.4865236448</v>
      </c>
      <c r="K25" s="133">
        <f>(1+(IF(L21&gt;0,$N$9,$N$6)))*K21+J25</f>
        <v>-99954.208760605543</v>
      </c>
      <c r="L25" s="34">
        <f>I25+K25</f>
        <v>-35607644.790941499</v>
      </c>
      <c r="M25" s="8"/>
    </row>
    <row r="26" spans="1:13" x14ac:dyDescent="0.25">
      <c r="A26" s="39">
        <v>2021</v>
      </c>
      <c r="B26" s="147">
        <f>'Population Projections'!$F$6/5</f>
        <v>499.4</v>
      </c>
      <c r="C26" s="89" t="s">
        <v>444</v>
      </c>
      <c r="D26" s="54">
        <f>VLOOKUP(A26,'Escalation Factors'!$E$17:$F$44,2,FALSE)</f>
        <v>1.0309888100694617</v>
      </c>
      <c r="E26" s="102">
        <f>B26*D26*'Wastewater - Charge'!$D$40</f>
        <v>2744540.476486322</v>
      </c>
      <c r="F26" s="103"/>
      <c r="G26" s="35"/>
      <c r="H26" s="34"/>
      <c r="I26" s="34"/>
      <c r="J26" s="34"/>
      <c r="K26" s="133"/>
      <c r="L26" s="34"/>
      <c r="M26" s="8"/>
    </row>
    <row r="27" spans="1:13" x14ac:dyDescent="0.25">
      <c r="A27" s="39">
        <v>2021</v>
      </c>
      <c r="B27" s="147">
        <f>'Population Projections'!$G$6/5</f>
        <v>1421.6</v>
      </c>
      <c r="C27" s="89" t="s">
        <v>445</v>
      </c>
      <c r="D27" s="54">
        <f>VLOOKUP(A27,'Escalation Factors'!$E$17:$F$44,2,FALSE)</f>
        <v>1.0309888100694617</v>
      </c>
      <c r="E27" s="102">
        <f>B27*D27*'Wastewater - Charge'!$D$42</f>
        <v>5247304.0293660741</v>
      </c>
      <c r="F27" s="103"/>
      <c r="G27" s="35"/>
      <c r="H27" s="34"/>
      <c r="I27" s="34"/>
      <c r="J27" s="34"/>
      <c r="K27" s="133"/>
      <c r="L27" s="34"/>
      <c r="M27" s="8"/>
    </row>
    <row r="28" spans="1:13" x14ac:dyDescent="0.25">
      <c r="A28" s="39">
        <v>2021</v>
      </c>
      <c r="B28" s="147">
        <f>'Population Projections'!$J$6/5</f>
        <v>1844778.6</v>
      </c>
      <c r="C28" s="89" t="s">
        <v>446</v>
      </c>
      <c r="D28" s="54">
        <f>VLOOKUP(A28,'Escalation Factors'!$E$17:$F$44,2,FALSE)</f>
        <v>1.0309888100694617</v>
      </c>
      <c r="E28" s="102">
        <f>B28*D28*'Wastewater - Charge'!$D$48</f>
        <v>4648546.3724544393</v>
      </c>
      <c r="F28" s="103"/>
      <c r="G28" s="35"/>
      <c r="H28" s="34"/>
      <c r="I28" s="34"/>
      <c r="J28" s="34"/>
      <c r="K28" s="35"/>
      <c r="L28" s="34"/>
      <c r="M28" s="8"/>
    </row>
    <row r="29" spans="1:13" x14ac:dyDescent="0.25">
      <c r="A29" s="137">
        <v>2021</v>
      </c>
      <c r="B29" s="152"/>
      <c r="C29" s="60"/>
      <c r="D29" s="55"/>
      <c r="E29" s="101">
        <f>SUBTOTAL(9,E26:E28)</f>
        <v>12640390.878306836</v>
      </c>
      <c r="F29" s="103">
        <f>F25+E29</f>
        <v>77351362.705388695</v>
      </c>
      <c r="G29" s="35">
        <f>'Wastewater - Phase Costs'!$O$50/5</f>
        <v>9825156.9350792374</v>
      </c>
      <c r="H29" s="34">
        <f>G29+H25</f>
        <v>110043819.34434198</v>
      </c>
      <c r="I29" s="34">
        <f>F29-H29</f>
        <v>-32692456.638953283</v>
      </c>
      <c r="J29" s="34">
        <f>I29*(IF(L25&gt;0,$N$9,$N$6))</f>
        <v>-984042.94483249378</v>
      </c>
      <c r="K29" s="133">
        <f>(1+(IF(L25&gt;0,$N$9,$N$6)))*K25+J29</f>
        <v>-1087005.7752767936</v>
      </c>
      <c r="L29" s="34">
        <f>I29+K29</f>
        <v>-33779462.414230078</v>
      </c>
      <c r="M29" s="8"/>
    </row>
    <row r="30" spans="1:13" x14ac:dyDescent="0.25">
      <c r="A30" s="39">
        <v>2022</v>
      </c>
      <c r="B30" s="147">
        <f>'Population Projections'!$F$6/5</f>
        <v>499.4</v>
      </c>
      <c r="C30" s="89" t="s">
        <v>444</v>
      </c>
      <c r="D30" s="54">
        <f>VLOOKUP(A30,'Escalation Factors'!$E$17:$F$44,2,FALSE)</f>
        <v>1.0468414913481519</v>
      </c>
      <c r="E30" s="102">
        <f>B30*D30*'Wastewater - Charge'!$D$40</f>
        <v>2786741.0561679485</v>
      </c>
      <c r="F30" s="103"/>
      <c r="G30" s="35"/>
      <c r="H30" s="34"/>
      <c r="I30" s="34"/>
      <c r="J30" s="34"/>
      <c r="K30" s="133"/>
      <c r="L30" s="34"/>
      <c r="M30" s="8"/>
    </row>
    <row r="31" spans="1:13" x14ac:dyDescent="0.25">
      <c r="A31" s="39">
        <v>2022</v>
      </c>
      <c r="B31" s="147">
        <f>'Population Projections'!$G$6/5</f>
        <v>1421.6</v>
      </c>
      <c r="C31" s="89" t="s">
        <v>445</v>
      </c>
      <c r="D31" s="54">
        <f>VLOOKUP(A31,'Escalation Factors'!$E$17:$F$44,2,FALSE)</f>
        <v>1.0468414913481519</v>
      </c>
      <c r="E31" s="102">
        <f>B31*D31*'Wastewater - Charge'!$D$42</f>
        <v>5327987.5804749578</v>
      </c>
      <c r="F31" s="103"/>
      <c r="G31" s="35"/>
      <c r="H31" s="34"/>
      <c r="I31" s="34"/>
      <c r="J31" s="34"/>
      <c r="K31" s="133"/>
      <c r="L31" s="34"/>
      <c r="M31" s="8"/>
    </row>
    <row r="32" spans="1:13" x14ac:dyDescent="0.25">
      <c r="A32" s="39">
        <v>2022</v>
      </c>
      <c r="B32" s="147">
        <f>'Population Projections'!$J$6/5</f>
        <v>1844778.6</v>
      </c>
      <c r="C32" s="89" t="s">
        <v>446</v>
      </c>
      <c r="D32" s="54">
        <f>VLOOKUP(A32,'Escalation Factors'!$E$17:$F$44,2,FALSE)</f>
        <v>1.0468414913481519</v>
      </c>
      <c r="E32" s="102">
        <f>B32*D32*'Wastewater - Charge'!$D$48</f>
        <v>4720023.3112262255</v>
      </c>
      <c r="F32" s="103"/>
      <c r="G32" s="35"/>
      <c r="H32" s="34"/>
      <c r="I32" s="34"/>
      <c r="J32" s="34"/>
      <c r="K32" s="35"/>
      <c r="L32" s="34"/>
      <c r="M32" s="8"/>
    </row>
    <row r="33" spans="1:13" x14ac:dyDescent="0.25">
      <c r="A33" s="137">
        <v>2022</v>
      </c>
      <c r="B33" s="152"/>
      <c r="C33" s="60"/>
      <c r="D33" s="205" t="s">
        <v>814</v>
      </c>
      <c r="E33" s="101">
        <f>SUBTOTAL(9,E30:E32)</f>
        <v>12834751.947869133</v>
      </c>
      <c r="F33" s="103">
        <f>F29+E33</f>
        <v>90186114.653257832</v>
      </c>
      <c r="G33" s="35">
        <f>'Wastewater - Phase Costs'!$O$50/5</f>
        <v>9825156.9350792374</v>
      </c>
      <c r="H33" s="34">
        <f>G33+H29</f>
        <v>119868976.27942121</v>
      </c>
      <c r="I33" s="34">
        <f>F33-H33</f>
        <v>-29682861.626163378</v>
      </c>
      <c r="J33" s="34">
        <f>I33*(IF(L29&gt;0,$N$9,$N$6))</f>
        <v>-893454.13494751765</v>
      </c>
      <c r="K33" s="133">
        <f>(1+(IF(L29&gt;0,$N$9,$N$6)))*K29+J33</f>
        <v>-2013178.7840601427</v>
      </c>
      <c r="L33" s="34">
        <f>I33+K33</f>
        <v>-31696040.410223521</v>
      </c>
      <c r="M33" s="8"/>
    </row>
    <row r="34" spans="1:13" x14ac:dyDescent="0.25">
      <c r="A34" s="39">
        <v>2023</v>
      </c>
      <c r="B34" s="147">
        <f>'Population Projections'!$F$6/5</f>
        <v>499.4</v>
      </c>
      <c r="C34" s="89" t="s">
        <v>444</v>
      </c>
      <c r="D34" s="54">
        <f>VLOOKUP(A34,'Escalation Factors'!$E$17:$F$44,2,FALSE)</f>
        <v>1.0629379264884447</v>
      </c>
      <c r="E34" s="102">
        <f>B34*D34*'Wastewater - Charge'!$D$40</f>
        <v>2829590.520040107</v>
      </c>
      <c r="F34" s="103"/>
      <c r="G34" s="35"/>
      <c r="H34" s="34"/>
      <c r="I34" s="34"/>
      <c r="J34" s="34"/>
      <c r="K34" s="133"/>
      <c r="L34" s="34"/>
      <c r="M34" s="8"/>
    </row>
    <row r="35" spans="1:13" x14ac:dyDescent="0.25">
      <c r="A35" s="39">
        <v>2023</v>
      </c>
      <c r="B35" s="147">
        <f>'Population Projections'!$G$6/5</f>
        <v>1421.6</v>
      </c>
      <c r="C35" s="89" t="s">
        <v>445</v>
      </c>
      <c r="D35" s="54">
        <f>VLOOKUP(A35,'Escalation Factors'!$E$17:$F$44,2,FALSE)</f>
        <v>1.0629379264884447</v>
      </c>
      <c r="E35" s="102">
        <f>B35*D35*'Wastewater - Charge'!$D$42</f>
        <v>5409911.7373088207</v>
      </c>
      <c r="F35" s="103"/>
      <c r="G35" s="35"/>
      <c r="H35" s="34"/>
      <c r="I35" s="34"/>
      <c r="J35" s="34"/>
      <c r="K35" s="133"/>
      <c r="L35" s="34"/>
      <c r="M35" s="8"/>
    </row>
    <row r="36" spans="1:13" x14ac:dyDescent="0.25">
      <c r="A36" s="39">
        <v>2023</v>
      </c>
      <c r="B36" s="147">
        <f>'Population Projections'!$J$6/5</f>
        <v>1844778.6</v>
      </c>
      <c r="C36" s="89" t="s">
        <v>446</v>
      </c>
      <c r="D36" s="54">
        <f>VLOOKUP(A36,'Escalation Factors'!$E$17:$F$44,2,FALSE)</f>
        <v>1.0629379264884447</v>
      </c>
      <c r="E36" s="102">
        <f>B36*D36*'Wastewater - Charge'!$D$48</f>
        <v>4792599.2930895155</v>
      </c>
      <c r="F36" s="103"/>
      <c r="G36" s="35"/>
      <c r="H36" s="34"/>
      <c r="I36" s="34"/>
      <c r="J36" s="34"/>
      <c r="K36" s="35"/>
      <c r="L36" s="34"/>
      <c r="M36" s="8"/>
    </row>
    <row r="37" spans="1:13" x14ac:dyDescent="0.25">
      <c r="A37" s="137">
        <v>2023</v>
      </c>
      <c r="B37" s="152"/>
      <c r="C37" s="60"/>
      <c r="D37" s="55"/>
      <c r="E37" s="101">
        <f>SUBTOTAL(9,E34:E36)</f>
        <v>13032101.550438443</v>
      </c>
      <c r="F37" s="103">
        <f>F33+E37</f>
        <v>103218216.20369628</v>
      </c>
      <c r="G37" s="35">
        <f>'Wastewater - Phase Costs'!$O$50/5</f>
        <v>9825156.9350792374</v>
      </c>
      <c r="H37" s="34">
        <f>G37+H33</f>
        <v>129694133.21450044</v>
      </c>
      <c r="I37" s="34">
        <f>F37-H37</f>
        <v>-26475917.010804161</v>
      </c>
      <c r="J37" s="34">
        <f>I37*(IF(L33&gt;0,$N$9,$N$6))</f>
        <v>-796925.10202520527</v>
      </c>
      <c r="K37" s="133">
        <f>(1+(IF(L33&gt;0,$N$9,$N$6)))*K33+J37</f>
        <v>-2870700.5674855583</v>
      </c>
      <c r="L37" s="34">
        <f>I37+K37</f>
        <v>-29346617.578289721</v>
      </c>
      <c r="M37" s="8"/>
    </row>
    <row r="38" spans="1:13" x14ac:dyDescent="0.25">
      <c r="A38" s="39">
        <v>2024</v>
      </c>
      <c r="B38" s="147">
        <f>'Population Projections'!$F$6/5</f>
        <v>499.4</v>
      </c>
      <c r="C38" s="89" t="s">
        <v>444</v>
      </c>
      <c r="D38" s="54">
        <f>VLOOKUP(A38,'Escalation Factors'!$E$17:$F$44,2,FALSE)</f>
        <v>1.0792818634963717</v>
      </c>
      <c r="E38" s="102">
        <f>B38*D38*'Wastewater - Charge'!$D$40</f>
        <v>2873098.8454703083</v>
      </c>
      <c r="F38" s="103"/>
      <c r="G38" s="35"/>
      <c r="H38" s="34"/>
      <c r="I38" s="34"/>
      <c r="J38" s="34"/>
      <c r="K38" s="133"/>
      <c r="L38" s="34"/>
      <c r="M38" s="8"/>
    </row>
    <row r="39" spans="1:13" x14ac:dyDescent="0.25">
      <c r="A39" s="39">
        <v>2024</v>
      </c>
      <c r="B39" s="147">
        <f>'Population Projections'!$G$6/5</f>
        <v>1421.6</v>
      </c>
      <c r="C39" s="89" t="s">
        <v>445</v>
      </c>
      <c r="D39" s="54">
        <f>VLOOKUP(A39,'Escalation Factors'!$E$17:$F$44,2,FALSE)</f>
        <v>1.0792818634963717</v>
      </c>
      <c r="E39" s="102">
        <f>B39*D39*'Wastewater - Charge'!$D$42</f>
        <v>5493095.575658747</v>
      </c>
      <c r="F39" s="103"/>
      <c r="G39" s="35"/>
      <c r="H39" s="34"/>
      <c r="I39" s="34"/>
      <c r="J39" s="34"/>
      <c r="K39" s="133"/>
      <c r="L39" s="34"/>
      <c r="M39" s="8"/>
    </row>
    <row r="40" spans="1:13" x14ac:dyDescent="0.25">
      <c r="A40" s="39">
        <v>2024</v>
      </c>
      <c r="B40" s="147">
        <f>'Population Projections'!$J$6/5</f>
        <v>1844778.6</v>
      </c>
      <c r="C40" s="89" t="s">
        <v>446</v>
      </c>
      <c r="D40" s="54">
        <f>VLOOKUP(A40,'Escalation Factors'!$E$17:$F$44,2,FALSE)</f>
        <v>1.0792818634963717</v>
      </c>
      <c r="E40" s="102">
        <f>B40*D40*'Wastewater - Charge'!$D$48</f>
        <v>4866291.2171412464</v>
      </c>
      <c r="F40" s="103"/>
      <c r="G40" s="35"/>
      <c r="H40" s="34"/>
      <c r="I40" s="34"/>
      <c r="J40" s="34"/>
      <c r="K40" s="35"/>
      <c r="L40" s="34"/>
      <c r="M40" s="8"/>
    </row>
    <row r="41" spans="1:13" x14ac:dyDescent="0.25">
      <c r="A41" s="137">
        <v>2024</v>
      </c>
      <c r="B41" s="152"/>
      <c r="C41" s="60"/>
      <c r="D41" s="55"/>
      <c r="E41" s="101">
        <f>SUBTOTAL(9,E38:E40)</f>
        <v>13232485.638270302</v>
      </c>
      <c r="F41" s="103">
        <f>F37+E41</f>
        <v>116450701.84196658</v>
      </c>
      <c r="G41" s="35">
        <f>'Wastewater - Phase Costs'!$O$50/5</f>
        <v>9825156.9350792374</v>
      </c>
      <c r="H41" s="34">
        <f>G41+H37</f>
        <v>139519290.14957967</v>
      </c>
      <c r="I41" s="34">
        <f>F41-H41</f>
        <v>-23068588.30761309</v>
      </c>
      <c r="J41" s="34">
        <f>I41*(IF(L37&gt;0,$N$9,$N$6))</f>
        <v>-694364.50805915392</v>
      </c>
      <c r="K41" s="133">
        <f>(1+(IF(L37&gt;0,$N$9,$N$6)))*K37+J41</f>
        <v>-3651473.1626260276</v>
      </c>
      <c r="L41" s="34">
        <f>I41+K41</f>
        <v>-26720061.470239118</v>
      </c>
      <c r="M41" s="8"/>
    </row>
    <row r="42" spans="1:13" x14ac:dyDescent="0.25">
      <c r="A42" s="39">
        <v>2025</v>
      </c>
      <c r="B42" s="147">
        <f>'Population Projections'!$F$6/5</f>
        <v>499.4</v>
      </c>
      <c r="C42" s="89" t="s">
        <v>444</v>
      </c>
      <c r="D42" s="54">
        <f>VLOOKUP(A42,'Escalation Factors'!$E$17:$F$44,2,FALSE)</f>
        <v>1.0958771080080225</v>
      </c>
      <c r="E42" s="102">
        <f>B42*D42*'Wastewater - Charge'!$D$40</f>
        <v>2917276.1632399787</v>
      </c>
      <c r="F42" s="103"/>
      <c r="G42" s="35"/>
      <c r="H42" s="34"/>
      <c r="I42" s="34"/>
      <c r="J42" s="34"/>
      <c r="K42" s="133"/>
      <c r="L42" s="34"/>
      <c r="M42" s="8"/>
    </row>
    <row r="43" spans="1:13" x14ac:dyDescent="0.25">
      <c r="A43" s="39">
        <v>2025</v>
      </c>
      <c r="B43" s="147">
        <f>'Population Projections'!$G$6/5</f>
        <v>1421.6</v>
      </c>
      <c r="C43" s="89" t="s">
        <v>445</v>
      </c>
      <c r="D43" s="54">
        <f>VLOOKUP(A43,'Escalation Factors'!$E$17:$F$44,2,FALSE)</f>
        <v>1.0958771080080225</v>
      </c>
      <c r="E43" s="102">
        <f>B43*D43*'Wastewater - Charge'!$D$42</f>
        <v>5577558.4646288352</v>
      </c>
      <c r="F43" s="103"/>
      <c r="G43" s="35"/>
      <c r="H43" s="34"/>
      <c r="I43" s="34"/>
      <c r="J43" s="34"/>
      <c r="K43" s="133"/>
      <c r="L43" s="34"/>
      <c r="M43" s="8"/>
    </row>
    <row r="44" spans="1:13" x14ac:dyDescent="0.25">
      <c r="A44" s="39">
        <v>2025</v>
      </c>
      <c r="B44" s="147">
        <f>'Population Projections'!$J$6/5</f>
        <v>1844778.6</v>
      </c>
      <c r="C44" s="89" t="s">
        <v>446</v>
      </c>
      <c r="D44" s="54">
        <f>VLOOKUP(A44,'Escalation Factors'!$E$17:$F$44,2,FALSE)</f>
        <v>1.0958771080080225</v>
      </c>
      <c r="E44" s="102">
        <f>B44*D44*'Wastewater - Charge'!$D$48</f>
        <v>4941116.2423221031</v>
      </c>
      <c r="F44" s="103"/>
      <c r="G44" s="35"/>
      <c r="H44" s="34"/>
      <c r="I44" s="34"/>
      <c r="J44" s="34"/>
      <c r="K44" s="133"/>
      <c r="L44" s="34"/>
      <c r="M44" s="8"/>
    </row>
    <row r="45" spans="1:13" x14ac:dyDescent="0.25">
      <c r="A45" s="137">
        <v>2025</v>
      </c>
      <c r="B45" s="152"/>
      <c r="C45" s="60"/>
      <c r="D45" s="55"/>
      <c r="E45" s="101">
        <f>SUBTOTAL(9,E42:E44)</f>
        <v>13435950.870190918</v>
      </c>
      <c r="F45" s="103">
        <f>F41+E45</f>
        <v>129886652.7121575</v>
      </c>
      <c r="G45" s="35">
        <f>'Wastewater - Phase Costs'!$O$50/5</f>
        <v>9825156.9350792374</v>
      </c>
      <c r="H45" s="34">
        <f>G45+H41</f>
        <v>149344447.08465892</v>
      </c>
      <c r="I45" s="34">
        <f>F45-H45</f>
        <v>-19457794.372501418</v>
      </c>
      <c r="J45" s="34">
        <f>I45*(IF(L41&gt;0,$N$9,$N$6))</f>
        <v>-585679.61061229266</v>
      </c>
      <c r="K45" s="133">
        <f>(1+(IF(L41&gt;0,$N$9,$N$6)))*K41+J45</f>
        <v>-4347062.1154333632</v>
      </c>
      <c r="L45" s="34">
        <f>I45+K45</f>
        <v>-23804856.487934783</v>
      </c>
      <c r="M45" s="8"/>
    </row>
    <row r="46" spans="1:13" x14ac:dyDescent="0.25">
      <c r="A46" s="39">
        <v>2026</v>
      </c>
      <c r="B46" s="147">
        <f>'Population Projections'!$F$7/5</f>
        <v>540.6</v>
      </c>
      <c r="C46" s="89" t="s">
        <v>444</v>
      </c>
      <c r="D46" s="54">
        <f>VLOOKUP(A46,'Escalation Factors'!$E$17:$F$44,2,FALSE)</f>
        <v>1.1127275241756756</v>
      </c>
      <c r="E46" s="102">
        <f>B46*D46*'Wastewater - Charge'!$D$40</f>
        <v>3206505.7469038167</v>
      </c>
      <c r="F46" s="103"/>
      <c r="G46" s="35"/>
      <c r="H46" s="34"/>
      <c r="I46" s="34"/>
      <c r="J46" s="34"/>
      <c r="K46" s="133"/>
      <c r="L46" s="34"/>
      <c r="M46" s="8"/>
    </row>
    <row r="47" spans="1:13" x14ac:dyDescent="0.25">
      <c r="A47" s="39">
        <v>2026</v>
      </c>
      <c r="B47" s="147">
        <f>'Population Projections'!$G$7/5</f>
        <v>1539</v>
      </c>
      <c r="C47" s="89" t="s">
        <v>445</v>
      </c>
      <c r="D47" s="54">
        <f>VLOOKUP(A47,'Escalation Factors'!$E$17:$F$44,2,FALSE)</f>
        <v>1.1127275241756756</v>
      </c>
      <c r="E47" s="102">
        <f>B47*D47*'Wastewater - Charge'!$D$42</f>
        <v>6131014.0612648129</v>
      </c>
      <c r="F47" s="103"/>
      <c r="G47" s="35"/>
      <c r="H47" s="34"/>
      <c r="I47" s="34"/>
      <c r="J47" s="34"/>
      <c r="K47" s="133"/>
      <c r="L47" s="34"/>
      <c r="M47" s="8"/>
    </row>
    <row r="48" spans="1:13" x14ac:dyDescent="0.25">
      <c r="A48" s="39">
        <v>2026</v>
      </c>
      <c r="B48" s="147">
        <f>'Population Projections'!$J$7/5</f>
        <v>1997093.8</v>
      </c>
      <c r="C48" s="89" t="s">
        <v>446</v>
      </c>
      <c r="D48" s="54">
        <f>VLOOKUP(A48,'Escalation Factors'!$E$17:$F$44,2,FALSE)</f>
        <v>1.1127275241756756</v>
      </c>
      <c r="E48" s="102">
        <f>B48*D48*'Wastewater - Charge'!$D$48</f>
        <v>5431330.8440696634</v>
      </c>
      <c r="F48" s="103"/>
      <c r="G48" s="35"/>
      <c r="H48" s="34"/>
      <c r="I48" s="34"/>
      <c r="J48" s="34"/>
      <c r="K48" s="133"/>
      <c r="L48" s="34"/>
      <c r="M48" s="8"/>
    </row>
    <row r="49" spans="1:13" x14ac:dyDescent="0.25">
      <c r="A49" s="137">
        <v>2026</v>
      </c>
      <c r="B49" s="152"/>
      <c r="C49" s="60"/>
      <c r="D49" s="55"/>
      <c r="E49" s="101">
        <f>SUBTOTAL(9,E46:E48)</f>
        <v>14768850.652238293</v>
      </c>
      <c r="F49" s="103">
        <f>F45+E49</f>
        <v>144655503.3643958</v>
      </c>
      <c r="G49" s="35">
        <f>'Wastewater - Phase Costs'!$O$56/5</f>
        <v>4406879.5945448689</v>
      </c>
      <c r="H49" s="34">
        <f>G49+H45</f>
        <v>153751326.67920378</v>
      </c>
      <c r="I49" s="34">
        <f>F49-H49</f>
        <v>-9095823.3148079813</v>
      </c>
      <c r="J49" s="34">
        <f>I49*(IF(L45&gt;0,$N$9,$N$6))</f>
        <v>-273784.28177572024</v>
      </c>
      <c r="K49" s="133">
        <f>(1+(IF(L45&gt;0,$N$9,$N$6)))*K45+J49</f>
        <v>-4751692.9668836277</v>
      </c>
      <c r="L49" s="34">
        <f>I49+K49</f>
        <v>-13847516.281691609</v>
      </c>
      <c r="M49" s="8"/>
    </row>
    <row r="50" spans="1:13" x14ac:dyDescent="0.25">
      <c r="A50" s="39">
        <v>2027</v>
      </c>
      <c r="B50" s="147">
        <f>'Population Projections'!$F$7/5</f>
        <v>540.6</v>
      </c>
      <c r="C50" s="89" t="s">
        <v>444</v>
      </c>
      <c r="D50" s="54">
        <f>VLOOKUP(A50,'Escalation Factors'!$E$17:$F$44,2,FALSE)</f>
        <v>1.1298370355675542</v>
      </c>
      <c r="E50" s="102">
        <f>B50*D50*'Wastewater - Charge'!$D$40</f>
        <v>3255809.59300524</v>
      </c>
      <c r="F50" s="103"/>
      <c r="G50" s="35"/>
      <c r="H50" s="34"/>
      <c r="I50" s="34"/>
      <c r="J50" s="34"/>
      <c r="K50" s="133"/>
      <c r="L50" s="34"/>
      <c r="M50" s="8"/>
    </row>
    <row r="51" spans="1:13" x14ac:dyDescent="0.25">
      <c r="A51" s="39">
        <v>2027</v>
      </c>
      <c r="B51" s="147">
        <f>'Population Projections'!$G$7/5</f>
        <v>1539</v>
      </c>
      <c r="C51" s="89" t="s">
        <v>445</v>
      </c>
      <c r="D51" s="54">
        <f>VLOOKUP(A51,'Escalation Factors'!$E$17:$F$44,2,FALSE)</f>
        <v>1.1298370355675542</v>
      </c>
      <c r="E51" s="102">
        <f>B51*D51*'Wastewater - Charge'!$D$42</f>
        <v>6225285.7069695322</v>
      </c>
      <c r="F51" s="103"/>
      <c r="G51" s="35"/>
      <c r="H51" s="34"/>
      <c r="I51" s="34"/>
      <c r="J51" s="34"/>
      <c r="K51" s="133"/>
      <c r="L51" s="34"/>
      <c r="M51" s="8"/>
    </row>
    <row r="52" spans="1:13" x14ac:dyDescent="0.25">
      <c r="A52" s="39">
        <v>2027</v>
      </c>
      <c r="B52" s="147">
        <f>'Population Projections'!$J$7/5</f>
        <v>1997093.8</v>
      </c>
      <c r="C52" s="89" t="s">
        <v>446</v>
      </c>
      <c r="D52" s="54">
        <f>VLOOKUP(A52,'Escalation Factors'!$E$17:$F$44,2,FALSE)</f>
        <v>1.1298370355675542</v>
      </c>
      <c r="E52" s="102">
        <f>B52*D52*'Wastewater - Charge'!$D$48</f>
        <v>5514844.0267048404</v>
      </c>
      <c r="F52" s="103"/>
      <c r="G52" s="35"/>
      <c r="H52" s="34"/>
      <c r="I52" s="34"/>
      <c r="J52" s="34"/>
      <c r="K52" s="133"/>
      <c r="L52" s="34"/>
      <c r="M52" s="8"/>
    </row>
    <row r="53" spans="1:13" x14ac:dyDescent="0.25">
      <c r="A53" s="137">
        <v>2027</v>
      </c>
      <c r="B53" s="152"/>
      <c r="C53" s="60"/>
      <c r="D53" s="55"/>
      <c r="E53" s="101">
        <f>SUBTOTAL(9,E50:E52)</f>
        <v>14995939.326679613</v>
      </c>
      <c r="F53" s="103">
        <f>F49+E53</f>
        <v>159651442.69107541</v>
      </c>
      <c r="G53" s="35">
        <f>'Wastewater - Phase Costs'!$O$56/5</f>
        <v>4406879.5945448689</v>
      </c>
      <c r="H53" s="34">
        <f>G53+H49</f>
        <v>158158206.27374864</v>
      </c>
      <c r="I53" s="34">
        <f>F53-H53</f>
        <v>1493236.4173267782</v>
      </c>
      <c r="J53" s="34">
        <f>I53*(IF(L49&gt;0,$N$9,$N$6))</f>
        <v>44946.416161536021</v>
      </c>
      <c r="K53" s="133">
        <f>(1+(IF(L49&gt;0,$N$9,$N$6)))*K49+J53</f>
        <v>-4849772.5090252887</v>
      </c>
      <c r="L53" s="34">
        <f>I53+K53</f>
        <v>-3356536.0916985106</v>
      </c>
      <c r="M53" s="8"/>
    </row>
    <row r="54" spans="1:13" x14ac:dyDescent="0.25">
      <c r="A54" s="39">
        <v>2028</v>
      </c>
      <c r="B54" s="147">
        <f>'Population Projections'!$F$7/5</f>
        <v>540.6</v>
      </c>
      <c r="C54" s="89" t="s">
        <v>444</v>
      </c>
      <c r="D54" s="54">
        <f>VLOOKUP(A54,'Escalation Factors'!$E$17:$F$44,2,FALSE)</f>
        <v>1.147209626081418</v>
      </c>
      <c r="E54" s="102">
        <f>B54*D54*'Wastewater - Charge'!$D$40</f>
        <v>3305871.5444812565</v>
      </c>
      <c r="F54" s="103"/>
      <c r="G54" s="35"/>
      <c r="H54" s="34"/>
      <c r="I54" s="34"/>
      <c r="J54" s="34"/>
      <c r="K54" s="133"/>
      <c r="L54" s="34"/>
      <c r="M54" s="8"/>
    </row>
    <row r="55" spans="1:13" x14ac:dyDescent="0.25">
      <c r="A55" s="39">
        <v>2028</v>
      </c>
      <c r="B55" s="147">
        <f>'Population Projections'!$G$7/5</f>
        <v>1539</v>
      </c>
      <c r="C55" s="89" t="s">
        <v>445</v>
      </c>
      <c r="D55" s="54">
        <f>VLOOKUP(A55,'Escalation Factors'!$E$17:$F$44,2,FALSE)</f>
        <v>1.147209626081418</v>
      </c>
      <c r="E55" s="102">
        <f>B55*D55*'Wastewater - Charge'!$D$42</f>
        <v>6321006.8915425474</v>
      </c>
      <c r="F55" s="103"/>
      <c r="G55" s="35"/>
      <c r="H55" s="34"/>
      <c r="I55" s="34"/>
      <c r="J55" s="34"/>
      <c r="K55" s="133"/>
      <c r="L55" s="34"/>
      <c r="M55" s="8"/>
    </row>
    <row r="56" spans="1:13" x14ac:dyDescent="0.25">
      <c r="A56" s="39">
        <v>2028</v>
      </c>
      <c r="B56" s="147">
        <f>'Population Projections'!$J$7/5</f>
        <v>1997093.8</v>
      </c>
      <c r="C56" s="89" t="s">
        <v>446</v>
      </c>
      <c r="D56" s="54">
        <f>VLOOKUP(A56,'Escalation Factors'!$E$17:$F$44,2,FALSE)</f>
        <v>1.147209626081418</v>
      </c>
      <c r="E56" s="102">
        <f>B56*D56*'Wastewater - Charge'!$D$48</f>
        <v>5599641.3240209473</v>
      </c>
      <c r="F56" s="103"/>
      <c r="G56" s="35"/>
      <c r="H56" s="34"/>
      <c r="I56" s="34"/>
      <c r="J56" s="34"/>
      <c r="K56" s="133"/>
      <c r="L56" s="34"/>
      <c r="M56" s="8"/>
    </row>
    <row r="57" spans="1:13" x14ac:dyDescent="0.25">
      <c r="A57" s="137">
        <v>2028</v>
      </c>
      <c r="B57" s="152"/>
      <c r="C57" s="60"/>
      <c r="D57" s="55"/>
      <c r="E57" s="101">
        <f>SUBTOTAL(9,E54:E56)</f>
        <v>15226519.76004475</v>
      </c>
      <c r="F57" s="103">
        <f>F53+E57</f>
        <v>174877962.45112017</v>
      </c>
      <c r="G57" s="35">
        <f>'Wastewater - Phase Costs'!$O$56/5</f>
        <v>4406879.5945448689</v>
      </c>
      <c r="H57" s="34">
        <f>G57+H53</f>
        <v>162565085.86829349</v>
      </c>
      <c r="I57" s="34">
        <f>F57-H57</f>
        <v>12312876.582826674</v>
      </c>
      <c r="J57" s="34">
        <f>I57*(IF(L53&gt;0,$N$9,$N$6))</f>
        <v>370617.58514308289</v>
      </c>
      <c r="K57" s="133">
        <f>(1+(IF(L53&gt;0,$N$9,$N$6)))*K53+J57</f>
        <v>-4625133.0764038675</v>
      </c>
      <c r="L57" s="34">
        <f>I57+K57</f>
        <v>7687743.5064228065</v>
      </c>
      <c r="M57" s="8"/>
    </row>
    <row r="58" spans="1:13" x14ac:dyDescent="0.25">
      <c r="A58" s="39">
        <v>2029</v>
      </c>
      <c r="B58" s="147">
        <f>'Population Projections'!$F$7/5</f>
        <v>540.6</v>
      </c>
      <c r="C58" s="89" t="s">
        <v>444</v>
      </c>
      <c r="D58" s="54">
        <f>VLOOKUP(A58,'Escalation Factors'!$E$17:$F$44,2,FALSE)</f>
        <v>1.1648493408722009</v>
      </c>
      <c r="E58" s="102">
        <f>B58*D58*'Wastewater - Charge'!$D$40</f>
        <v>3356703.258105211</v>
      </c>
      <c r="F58" s="103"/>
      <c r="G58" s="35"/>
      <c r="H58" s="34"/>
      <c r="I58" s="34"/>
      <c r="J58" s="34"/>
      <c r="K58" s="133"/>
      <c r="L58" s="34"/>
      <c r="M58" s="8"/>
    </row>
    <row r="59" spans="1:13" x14ac:dyDescent="0.25">
      <c r="A59" s="39">
        <v>2029</v>
      </c>
      <c r="B59" s="147">
        <f>'Population Projections'!$G$7/5</f>
        <v>1539</v>
      </c>
      <c r="C59" s="89" t="s">
        <v>445</v>
      </c>
      <c r="D59" s="54">
        <f>VLOOKUP(A59,'Escalation Factors'!$E$17:$F$44,2,FALSE)</f>
        <v>1.1648493408722009</v>
      </c>
      <c r="E59" s="102">
        <f>B59*D59*'Wastewater - Charge'!$D$42</f>
        <v>6418199.9033709457</v>
      </c>
      <c r="F59" s="103"/>
      <c r="G59" s="35"/>
      <c r="H59" s="34"/>
      <c r="I59" s="34"/>
      <c r="J59" s="34"/>
      <c r="K59" s="133"/>
      <c r="L59" s="34"/>
      <c r="M59" s="8"/>
    </row>
    <row r="60" spans="1:13" x14ac:dyDescent="0.25">
      <c r="A60" s="39">
        <v>2029</v>
      </c>
      <c r="B60" s="147">
        <f>'Population Projections'!$J$7/5</f>
        <v>1997093.8</v>
      </c>
      <c r="C60" s="89" t="s">
        <v>446</v>
      </c>
      <c r="D60" s="54">
        <f>VLOOKUP(A60,'Escalation Factors'!$E$17:$F$44,2,FALSE)</f>
        <v>1.1648493408722009</v>
      </c>
      <c r="E60" s="102">
        <f>B60*D60*'Wastewater - Charge'!$D$48</f>
        <v>5685742.4808111023</v>
      </c>
      <c r="F60" s="103"/>
      <c r="G60" s="35"/>
      <c r="H60" s="34"/>
      <c r="I60" s="34"/>
      <c r="J60" s="34"/>
      <c r="K60" s="133"/>
      <c r="L60" s="34"/>
      <c r="M60" s="8"/>
    </row>
    <row r="61" spans="1:13" x14ac:dyDescent="0.25">
      <c r="A61" s="137">
        <v>2029</v>
      </c>
      <c r="B61" s="152"/>
      <c r="C61" s="60"/>
      <c r="D61" s="55"/>
      <c r="E61" s="101">
        <f>SUBTOTAL(9,E58:E60)</f>
        <v>15460645.64228726</v>
      </c>
      <c r="F61" s="103">
        <f>F57+E61</f>
        <v>190338608.09340742</v>
      </c>
      <c r="G61" s="35">
        <f>'Wastewater - Phase Costs'!$O$56/5</f>
        <v>4406879.5945448689</v>
      </c>
      <c r="H61" s="34">
        <f>G61+H57</f>
        <v>166971965.46283835</v>
      </c>
      <c r="I61" s="34">
        <f>F61-H61</f>
        <v>23366642.630569071</v>
      </c>
      <c r="J61" s="34">
        <f>I61*(IF(L57&gt;0,$N$9,$N$6))</f>
        <v>295588.02927669871</v>
      </c>
      <c r="K61" s="133">
        <f>(1+(IF(L57&gt;0,$N$9,$N$6)))*K57+J61</f>
        <v>-4388052.9805436777</v>
      </c>
      <c r="L61" s="34">
        <f>I61+K61</f>
        <v>18978589.650025394</v>
      </c>
      <c r="M61" s="8"/>
    </row>
    <row r="62" spans="1:13" x14ac:dyDescent="0.25">
      <c r="A62" s="39">
        <v>2030</v>
      </c>
      <c r="B62" s="147">
        <f>'Population Projections'!$F$7/5</f>
        <v>540.6</v>
      </c>
      <c r="C62" s="89" t="s">
        <v>444</v>
      </c>
      <c r="D62" s="54">
        <f>VLOOKUP(A62,'Escalation Factors'!$E$17:$F$44,2,FALSE)</f>
        <v>1.1827602872939134</v>
      </c>
      <c r="E62" s="102">
        <f>B62*D62*'Wastewater - Charge'!$D$40</f>
        <v>3408316.5698872251</v>
      </c>
      <c r="F62" s="103"/>
      <c r="G62" s="35"/>
      <c r="H62" s="34"/>
      <c r="I62" s="34"/>
      <c r="J62" s="34"/>
      <c r="K62" s="133"/>
      <c r="L62" s="34"/>
      <c r="M62" s="8"/>
    </row>
    <row r="63" spans="1:13" x14ac:dyDescent="0.25">
      <c r="A63" s="39">
        <v>2030</v>
      </c>
      <c r="B63" s="147">
        <f>'Population Projections'!$G$7/5</f>
        <v>1539</v>
      </c>
      <c r="C63" s="89" t="s">
        <v>445</v>
      </c>
      <c r="D63" s="54">
        <f>VLOOKUP(A63,'Escalation Factors'!$E$17:$F$44,2,FALSE)</f>
        <v>1.1827602872939134</v>
      </c>
      <c r="E63" s="102">
        <f>B63*D63*'Wastewater - Charge'!$D$42</f>
        <v>6516887.3735523196</v>
      </c>
      <c r="F63" s="103"/>
      <c r="G63" s="35"/>
      <c r="H63" s="34"/>
      <c r="I63" s="34"/>
      <c r="J63" s="34"/>
      <c r="K63" s="133"/>
      <c r="L63" s="34"/>
      <c r="M63" s="8"/>
    </row>
    <row r="64" spans="1:13" x14ac:dyDescent="0.25">
      <c r="A64" s="39">
        <v>2030</v>
      </c>
      <c r="B64" s="147">
        <f>'Population Projections'!$J$7/5</f>
        <v>1997093.8</v>
      </c>
      <c r="C64" s="89" t="s">
        <v>446</v>
      </c>
      <c r="D64" s="54">
        <f>VLOOKUP(A64,'Escalation Factors'!$E$17:$F$44,2,FALSE)</f>
        <v>1.1827602872939134</v>
      </c>
      <c r="E64" s="102">
        <f>B64*D64*'Wastewater - Charge'!$D$48</f>
        <v>5773167.5454681423</v>
      </c>
      <c r="F64" s="103"/>
      <c r="G64" s="35"/>
      <c r="H64" s="34"/>
      <c r="I64" s="34"/>
      <c r="J64" s="34"/>
      <c r="K64" s="133"/>
      <c r="L64" s="34"/>
      <c r="M64" s="8"/>
    </row>
    <row r="65" spans="1:13" x14ac:dyDescent="0.25">
      <c r="A65" s="137">
        <v>2030</v>
      </c>
      <c r="B65" s="152"/>
      <c r="C65" s="60"/>
      <c r="D65" s="55"/>
      <c r="E65" s="101">
        <f>SUBTOTAL(9,E62:E64)</f>
        <v>15698371.488907687</v>
      </c>
      <c r="F65" s="103">
        <f>F61+E65</f>
        <v>206036979.58231512</v>
      </c>
      <c r="G65" s="35">
        <f>'Wastewater - Phase Costs'!$O$56/5</f>
        <v>4406879.5945448689</v>
      </c>
      <c r="H65" s="34">
        <f>G65+H61</f>
        <v>171378845.05738321</v>
      </c>
      <c r="I65" s="34">
        <f>F65-H65</f>
        <v>34658134.524931908</v>
      </c>
      <c r="J65" s="34">
        <f>I65*(IF(L61&gt;0,$N$9,$N$6))</f>
        <v>438425.4017403886</v>
      </c>
      <c r="K65" s="133">
        <f>(1+(IF(L61&gt;0,$N$9,$N$6)))*K61+J65</f>
        <v>-4005136.449007167</v>
      </c>
      <c r="L65" s="34">
        <f>I65+K65</f>
        <v>30652998.075924739</v>
      </c>
      <c r="M65" s="8"/>
    </row>
    <row r="66" spans="1:13" x14ac:dyDescent="0.25">
      <c r="A66" s="39">
        <v>2031</v>
      </c>
      <c r="B66" s="147">
        <f>'Population Projections'!$F$8/5</f>
        <v>565</v>
      </c>
      <c r="C66" s="89" t="s">
        <v>444</v>
      </c>
      <c r="D66" s="54">
        <f>VLOOKUP(A66,'Escalation Factors'!$E$17:$F$44,2,FALSE)</f>
        <v>1.2009466358560272</v>
      </c>
      <c r="E66" s="102">
        <f>B66*D66*'Wastewater - Charge'!$D$40</f>
        <v>3616923.3745357934</v>
      </c>
      <c r="F66" s="103"/>
      <c r="G66" s="35"/>
      <c r="H66" s="34"/>
      <c r="I66" s="34"/>
      <c r="J66" s="34"/>
      <c r="K66" s="133"/>
      <c r="L66" s="34"/>
      <c r="M66" s="8"/>
    </row>
    <row r="67" spans="1:13" x14ac:dyDescent="0.25">
      <c r="A67" s="39">
        <v>2031</v>
      </c>
      <c r="B67" s="147">
        <f>'Population Projections'!$G$8/5</f>
        <v>1607.8</v>
      </c>
      <c r="C67" s="89" t="s">
        <v>445</v>
      </c>
      <c r="D67" s="54">
        <f>VLOOKUP(A67,'Escalation Factors'!$E$17:$F$44,2,FALSE)</f>
        <v>1.2009466358560272</v>
      </c>
      <c r="E67" s="102">
        <f>B67*D67*'Wastewater - Charge'!$D$42</f>
        <v>6912905.1134867026</v>
      </c>
      <c r="F67" s="103"/>
      <c r="G67" s="35"/>
      <c r="H67" s="34"/>
      <c r="I67" s="34"/>
      <c r="J67" s="34"/>
      <c r="K67" s="133"/>
      <c r="L67" s="34"/>
      <c r="M67" s="8"/>
    </row>
    <row r="68" spans="1:13" x14ac:dyDescent="0.25">
      <c r="A68" s="39">
        <v>2031</v>
      </c>
      <c r="B68" s="147">
        <f>'Population Projections'!$J$8/5</f>
        <v>2086443.6</v>
      </c>
      <c r="C68" s="89" t="s">
        <v>446</v>
      </c>
      <c r="D68" s="54">
        <f>VLOOKUP(A68,'Escalation Factors'!$E$17:$F$44,2,FALSE)</f>
        <v>1.2009466358560272</v>
      </c>
      <c r="E68" s="102">
        <f>B68*D68*'Wastewater - Charge'!$D$48</f>
        <v>6124199.4120273143</v>
      </c>
      <c r="F68" s="103"/>
      <c r="G68" s="35"/>
      <c r="H68" s="34"/>
      <c r="I68" s="34"/>
      <c r="J68" s="34"/>
      <c r="K68" s="133"/>
      <c r="L68" s="34"/>
      <c r="M68" s="8"/>
    </row>
    <row r="69" spans="1:13" x14ac:dyDescent="0.25">
      <c r="A69" s="137">
        <v>2031</v>
      </c>
      <c r="B69" s="152"/>
      <c r="C69" s="60"/>
      <c r="D69" s="55"/>
      <c r="E69" s="101">
        <f>SUBTOTAL(9,E66:E68)</f>
        <v>16654027.900049809</v>
      </c>
      <c r="F69" s="103">
        <f>F65+E69</f>
        <v>222691007.48236492</v>
      </c>
      <c r="G69" s="35">
        <f>'Wastewater - Phase Costs'!$O$72/5</f>
        <v>15611143.85554106</v>
      </c>
      <c r="H69" s="34">
        <f>G69+H65</f>
        <v>186989988.91292426</v>
      </c>
      <c r="I69" s="34">
        <f>F69-H69</f>
        <v>35701018.569440663</v>
      </c>
      <c r="J69" s="34">
        <f>I69*(IF(L65&gt;0,$N$9,$N$6))</f>
        <v>451617.88490342436</v>
      </c>
      <c r="K69" s="133">
        <f>(1+(IF(L65&gt;0,$N$9,$N$6)))*K65+J69</f>
        <v>-3604183.5401836834</v>
      </c>
      <c r="L69" s="34">
        <f>I69+K69</f>
        <v>32096835.029256981</v>
      </c>
      <c r="M69" s="8"/>
    </row>
    <row r="70" spans="1:13" x14ac:dyDescent="0.25">
      <c r="A70" s="39">
        <v>2032</v>
      </c>
      <c r="B70" s="147">
        <f>'Population Projections'!$F$8/5</f>
        <v>565</v>
      </c>
      <c r="C70" s="89" t="s">
        <v>444</v>
      </c>
      <c r="D70" s="54">
        <f>VLOOKUP(A70,'Escalation Factors'!$E$17:$F$44,2,FALSE)</f>
        <v>1.2194126211945662</v>
      </c>
      <c r="E70" s="102">
        <f>B70*D70*'Wastewater - Charge'!$D$40</f>
        <v>3672537.880635133</v>
      </c>
      <c r="F70" s="103"/>
      <c r="G70" s="35"/>
      <c r="H70" s="34"/>
      <c r="I70" s="34"/>
      <c r="J70" s="34"/>
      <c r="K70" s="133"/>
      <c r="L70" s="34"/>
      <c r="M70" s="8"/>
    </row>
    <row r="71" spans="1:13" x14ac:dyDescent="0.25">
      <c r="A71" s="39">
        <v>2032</v>
      </c>
      <c r="B71" s="147">
        <f>'Population Projections'!$G$8/5</f>
        <v>1607.8</v>
      </c>
      <c r="C71" s="89" t="s">
        <v>445</v>
      </c>
      <c r="D71" s="54">
        <f>VLOOKUP(A71,'Escalation Factors'!$E$17:$F$44,2,FALSE)</f>
        <v>1.2194126211945662</v>
      </c>
      <c r="E71" s="102">
        <f>B71*D71*'Wastewater - Charge'!$D$42</f>
        <v>7019199.2656672169</v>
      </c>
      <c r="F71" s="103"/>
      <c r="G71" s="35"/>
      <c r="H71" s="34"/>
      <c r="I71" s="34"/>
      <c r="J71" s="34"/>
      <c r="K71" s="133"/>
      <c r="L71" s="34"/>
      <c r="M71" s="8"/>
    </row>
    <row r="72" spans="1:13" x14ac:dyDescent="0.25">
      <c r="A72" s="39">
        <v>2032</v>
      </c>
      <c r="B72" s="147">
        <f>'Population Projections'!$J$8/5</f>
        <v>2086443.6</v>
      </c>
      <c r="C72" s="89" t="s">
        <v>446</v>
      </c>
      <c r="D72" s="54">
        <f>VLOOKUP(A72,'Escalation Factors'!$E$17:$F$44,2,FALSE)</f>
        <v>1.2194126211945662</v>
      </c>
      <c r="E72" s="102">
        <f>B72*D72*'Wastewater - Charge'!$D$48</f>
        <v>6218366.274381008</v>
      </c>
      <c r="F72" s="103"/>
      <c r="G72" s="35"/>
      <c r="H72" s="34"/>
      <c r="I72" s="34"/>
      <c r="J72" s="34"/>
      <c r="K72" s="133"/>
      <c r="L72" s="34"/>
      <c r="M72" s="8"/>
    </row>
    <row r="73" spans="1:13" x14ac:dyDescent="0.25">
      <c r="A73" s="137">
        <v>2032</v>
      </c>
      <c r="B73" s="152"/>
      <c r="C73" s="60"/>
      <c r="D73" s="55"/>
      <c r="E73" s="101">
        <f>SUBTOTAL(9,E70:E72)</f>
        <v>16910103.420683358</v>
      </c>
      <c r="F73" s="103">
        <f>F69+E73</f>
        <v>239601110.90304828</v>
      </c>
      <c r="G73" s="35">
        <f>'Wastewater - Phase Costs'!$O$72/5</f>
        <v>15611143.85554106</v>
      </c>
      <c r="H73" s="34">
        <f>G73+H69</f>
        <v>202601132.76846531</v>
      </c>
      <c r="I73" s="34">
        <f>F73-H73</f>
        <v>36999978.134582967</v>
      </c>
      <c r="J73" s="34">
        <f>I73*(IF(L69&gt;0,$N$9,$N$6))</f>
        <v>468049.72340247454</v>
      </c>
      <c r="K73" s="133">
        <f>(1+(IF(L69&gt;0,$N$9,$N$6)))*K69+J73</f>
        <v>-3181726.7385645327</v>
      </c>
      <c r="L73" s="34">
        <f>I73+K73</f>
        <v>33818251.396018431</v>
      </c>
      <c r="M73" s="8"/>
    </row>
    <row r="74" spans="1:13" x14ac:dyDescent="0.25">
      <c r="A74" s="39">
        <v>2033</v>
      </c>
      <c r="B74" s="147">
        <f>'Population Projections'!$F$8/5</f>
        <v>565</v>
      </c>
      <c r="C74" s="89" t="s">
        <v>444</v>
      </c>
      <c r="D74" s="54">
        <f>VLOOKUP(A74,'Escalation Factors'!$E$17:$F$44,2,FALSE)</f>
        <v>1.2381625430581287</v>
      </c>
      <c r="E74" s="102">
        <f>B74*D74*'Wastewater - Charge'!$D$40</f>
        <v>3729007.5260250797</v>
      </c>
      <c r="F74" s="103"/>
      <c r="G74" s="35"/>
      <c r="H74" s="34"/>
      <c r="I74" s="34"/>
      <c r="J74" s="34"/>
      <c r="K74" s="133"/>
      <c r="L74" s="34"/>
      <c r="M74" s="8"/>
    </row>
    <row r="75" spans="1:13" x14ac:dyDescent="0.25">
      <c r="A75" s="39">
        <v>2033</v>
      </c>
      <c r="B75" s="147">
        <f>'Population Projections'!$G$8/5</f>
        <v>1607.8</v>
      </c>
      <c r="C75" s="89" t="s">
        <v>445</v>
      </c>
      <c r="D75" s="54">
        <f>VLOOKUP(A75,'Escalation Factors'!$E$17:$F$44,2,FALSE)</f>
        <v>1.2381625430581287</v>
      </c>
      <c r="E75" s="102">
        <f>B75*D75*'Wastewater - Charge'!$D$42</f>
        <v>7127127.8170767529</v>
      </c>
      <c r="F75" s="103"/>
      <c r="G75" s="35"/>
      <c r="H75" s="34"/>
      <c r="I75" s="34"/>
      <c r="J75" s="34"/>
      <c r="K75" s="133"/>
      <c r="L75" s="34"/>
      <c r="M75" s="8"/>
    </row>
    <row r="76" spans="1:13" x14ac:dyDescent="0.25">
      <c r="A76" s="39">
        <v>2033</v>
      </c>
      <c r="B76" s="147">
        <f>'Population Projections'!$J$8/5</f>
        <v>2086443.6</v>
      </c>
      <c r="C76" s="89" t="s">
        <v>446</v>
      </c>
      <c r="D76" s="54">
        <f>VLOOKUP(A76,'Escalation Factors'!$E$17:$F$44,2,FALSE)</f>
        <v>1.2381625430581287</v>
      </c>
      <c r="E76" s="102">
        <f>B76*D76*'Wastewater - Charge'!$D$48</f>
        <v>6313981.0644341381</v>
      </c>
      <c r="F76" s="103"/>
      <c r="G76" s="35"/>
      <c r="H76" s="34"/>
      <c r="I76" s="34"/>
      <c r="J76" s="34"/>
      <c r="K76" s="133"/>
      <c r="L76" s="34"/>
      <c r="M76" s="8"/>
    </row>
    <row r="77" spans="1:13" x14ac:dyDescent="0.25">
      <c r="A77" s="137">
        <v>2033</v>
      </c>
      <c r="B77" s="152"/>
      <c r="C77" s="60"/>
      <c r="D77" s="55"/>
      <c r="E77" s="101">
        <f>SUBTOTAL(9,E74:E76)</f>
        <v>17170116.40753597</v>
      </c>
      <c r="F77" s="103">
        <f>F73+E77</f>
        <v>256771227.31058425</v>
      </c>
      <c r="G77" s="35">
        <f>'Wastewater - Phase Costs'!$O$72/5</f>
        <v>15611143.85554106</v>
      </c>
      <c r="H77" s="34">
        <f>G77+H73</f>
        <v>218212276.62400636</v>
      </c>
      <c r="I77" s="34">
        <f>F77-H77</f>
        <v>38558950.686577886</v>
      </c>
      <c r="J77" s="34">
        <f>I77*(IF(L73&gt;0,$N$9,$N$6))</f>
        <v>487770.72618521028</v>
      </c>
      <c r="K77" s="133">
        <f>(1+(IF(L73&gt;0,$N$9,$N$6)))*K73+J77</f>
        <v>-2734204.855622164</v>
      </c>
      <c r="L77" s="34">
        <f>I77+K77</f>
        <v>35824745.830955721</v>
      </c>
      <c r="M77" s="8"/>
    </row>
    <row r="78" spans="1:13" x14ac:dyDescent="0.25">
      <c r="A78" s="39">
        <v>2034</v>
      </c>
      <c r="B78" s="147">
        <f>'Population Projections'!$F$8/5</f>
        <v>565</v>
      </c>
      <c r="C78" s="89" t="s">
        <v>444</v>
      </c>
      <c r="D78" s="54">
        <f>VLOOKUP(A78,'Escalation Factors'!$E$17:$F$44,2,FALSE)</f>
        <v>1.2572007673090693</v>
      </c>
      <c r="E78" s="102">
        <f>B78*D78*'Wastewater - Charge'!$D$40</f>
        <v>3786345.4594910396</v>
      </c>
      <c r="F78" s="103"/>
      <c r="G78" s="35"/>
      <c r="H78" s="34"/>
      <c r="I78" s="34"/>
      <c r="J78" s="34"/>
      <c r="K78" s="133"/>
      <c r="L78" s="34"/>
      <c r="M78" s="8"/>
    </row>
    <row r="79" spans="1:13" x14ac:dyDescent="0.25">
      <c r="A79" s="39">
        <v>2034</v>
      </c>
      <c r="B79" s="147">
        <f>'Population Projections'!$G$8/5</f>
        <v>1607.8</v>
      </c>
      <c r="C79" s="89" t="s">
        <v>445</v>
      </c>
      <c r="D79" s="54">
        <f>VLOOKUP(A79,'Escalation Factors'!$E$17:$F$44,2,FALSE)</f>
        <v>1.2572007673090693</v>
      </c>
      <c r="E79" s="102">
        <f>B79*D79*'Wastewater - Charge'!$D$42</f>
        <v>7236715.8985506836</v>
      </c>
      <c r="F79" s="103"/>
      <c r="G79" s="35"/>
      <c r="H79" s="34"/>
      <c r="I79" s="34"/>
      <c r="J79" s="34"/>
      <c r="K79" s="133"/>
      <c r="L79" s="34"/>
      <c r="M79" s="8"/>
    </row>
    <row r="80" spans="1:13" x14ac:dyDescent="0.25">
      <c r="A80" s="39">
        <v>2034</v>
      </c>
      <c r="B80" s="147">
        <f>'Population Projections'!$J$8/5</f>
        <v>2086443.6</v>
      </c>
      <c r="C80" s="89" t="s">
        <v>446</v>
      </c>
      <c r="D80" s="54">
        <f>VLOOKUP(A80,'Escalation Factors'!$E$17:$F$44,2,FALSE)</f>
        <v>1.2572007673090693</v>
      </c>
      <c r="E80" s="102">
        <f>B80*D80*'Wastewater - Charge'!$D$48</f>
        <v>6411066.0458001485</v>
      </c>
      <c r="F80" s="103"/>
      <c r="G80" s="35"/>
      <c r="H80" s="34"/>
      <c r="I80" s="34"/>
      <c r="J80" s="34"/>
      <c r="K80" s="133"/>
      <c r="L80" s="34"/>
      <c r="M80" s="8"/>
    </row>
    <row r="81" spans="1:13" x14ac:dyDescent="0.25">
      <c r="A81" s="137">
        <v>2034</v>
      </c>
      <c r="B81" s="152"/>
      <c r="C81" s="60"/>
      <c r="D81" s="55"/>
      <c r="E81" s="101">
        <f>SUBTOTAL(9,E78:E80)</f>
        <v>17434127.403841872</v>
      </c>
      <c r="F81" s="103">
        <f>F77+E81</f>
        <v>274205354.7144261</v>
      </c>
      <c r="G81" s="35">
        <f>'Wastewater - Phase Costs'!$O$72/5</f>
        <v>15611143.85554106</v>
      </c>
      <c r="H81" s="34">
        <f>G81+H77</f>
        <v>233823420.47954741</v>
      </c>
      <c r="I81" s="34">
        <f>F81-H81</f>
        <v>40381934.234878689</v>
      </c>
      <c r="J81" s="34">
        <f>I81*(IF(L77&gt;0,$N$9,$N$6))</f>
        <v>510831.46807121544</v>
      </c>
      <c r="K81" s="133">
        <f>(1+(IF(L77&gt;0,$N$9,$N$6)))*K77+J81</f>
        <v>-2257961.0789745692</v>
      </c>
      <c r="L81" s="34">
        <f>I81+K81</f>
        <v>38123973.155904122</v>
      </c>
      <c r="M81" s="8"/>
    </row>
    <row r="82" spans="1:13" x14ac:dyDescent="0.25">
      <c r="A82" s="39">
        <v>2035</v>
      </c>
      <c r="B82" s="147">
        <f>'Population Projections'!$F$8/5</f>
        <v>565</v>
      </c>
      <c r="C82" s="89" t="s">
        <v>444</v>
      </c>
      <c r="D82" s="54">
        <f>VLOOKUP(A82,'Escalation Factors'!$E$17:$F$44,2,FALSE)</f>
        <v>1.2765317269400787</v>
      </c>
      <c r="E82" s="102">
        <f>B82*D82*'Wastewater - Charge'!$D$40</f>
        <v>3844565.0319966637</v>
      </c>
      <c r="F82" s="103"/>
      <c r="G82" s="35"/>
      <c r="H82" s="34"/>
      <c r="I82" s="34"/>
      <c r="J82" s="34"/>
      <c r="K82" s="133"/>
      <c r="L82" s="34"/>
      <c r="M82" s="8"/>
    </row>
    <row r="83" spans="1:13" x14ac:dyDescent="0.25">
      <c r="A83" s="39">
        <v>2035</v>
      </c>
      <c r="B83" s="147">
        <f>'Population Projections'!$G$8/5</f>
        <v>1607.8</v>
      </c>
      <c r="C83" s="89" t="s">
        <v>445</v>
      </c>
      <c r="D83" s="54">
        <f>VLOOKUP(A83,'Escalation Factors'!$E$17:$F$44,2,FALSE)</f>
        <v>1.2765317269400787</v>
      </c>
      <c r="E83" s="102">
        <f>B83*D83*'Wastewater - Charge'!$D$42</f>
        <v>7347989.0273409216</v>
      </c>
      <c r="F83" s="103"/>
      <c r="G83" s="35"/>
      <c r="H83" s="34"/>
      <c r="I83" s="34"/>
      <c r="J83" s="34"/>
      <c r="K83" s="133"/>
      <c r="L83" s="34"/>
      <c r="M83" s="8"/>
    </row>
    <row r="84" spans="1:13" x14ac:dyDescent="0.25">
      <c r="A84" s="39">
        <v>2035</v>
      </c>
      <c r="B84" s="147">
        <f>'Population Projections'!$J$8/5</f>
        <v>2086443.6</v>
      </c>
      <c r="C84" s="89" t="s">
        <v>446</v>
      </c>
      <c r="D84" s="54">
        <f>VLOOKUP(A84,'Escalation Factors'!$E$17:$F$44,2,FALSE)</f>
        <v>1.2765317269400787</v>
      </c>
      <c r="E84" s="102">
        <f>B84*D84*'Wastewater - Charge'!$D$48</f>
        <v>6509643.8244220652</v>
      </c>
      <c r="F84" s="103"/>
      <c r="G84" s="35"/>
      <c r="H84" s="34"/>
      <c r="I84" s="34"/>
      <c r="J84" s="34"/>
      <c r="K84" s="133"/>
      <c r="L84" s="34"/>
      <c r="M84" s="8"/>
    </row>
    <row r="85" spans="1:13" x14ac:dyDescent="0.25">
      <c r="A85" s="137">
        <v>2035</v>
      </c>
      <c r="B85" s="152"/>
      <c r="C85" s="60"/>
      <c r="D85" s="55"/>
      <c r="E85" s="101">
        <f>SUBTOTAL(9,E82:E84)</f>
        <v>17702197.883759651</v>
      </c>
      <c r="F85" s="103">
        <f>F81+E85</f>
        <v>291907552.59818578</v>
      </c>
      <c r="G85" s="35">
        <f>'Wastewater - Phase Costs'!$O$72/5</f>
        <v>15611143.85554106</v>
      </c>
      <c r="H85" s="34">
        <f>G85+H81</f>
        <v>249434564.33508846</v>
      </c>
      <c r="I85" s="34">
        <f>F85-H85</f>
        <v>42472988.263097316</v>
      </c>
      <c r="J85" s="34">
        <f>I85*(IF(L81&gt;0,$N$9,$N$6))</f>
        <v>537283.30152818107</v>
      </c>
      <c r="K85" s="133">
        <f>(1+(IF(L81&gt;0,$N$9,$N$6)))*K81+J85</f>
        <v>-1749240.9850954167</v>
      </c>
      <c r="L85" s="34">
        <f>I85+K85</f>
        <v>40723747.278001897</v>
      </c>
      <c r="M85" s="8"/>
    </row>
    <row r="86" spans="1:13" x14ac:dyDescent="0.25">
      <c r="A86" s="39">
        <v>2036</v>
      </c>
      <c r="B86" s="147">
        <f>'Population Projections'!$F$9/5</f>
        <v>604.79999999999995</v>
      </c>
      <c r="C86" s="89" t="s">
        <v>444</v>
      </c>
      <c r="D86" s="54">
        <f>VLOOKUP(A86,'Escalation Factors'!$E$17:$F$44,2,FALSE)</f>
        <v>1.2961599231063914</v>
      </c>
      <c r="E86" s="102">
        <f>B86*D86*'Wastewater - Charge'!$D$40</f>
        <v>4178664.6777248662</v>
      </c>
      <c r="F86" s="103"/>
      <c r="G86" s="35"/>
      <c r="H86" s="34"/>
      <c r="I86" s="34"/>
      <c r="J86" s="34"/>
      <c r="K86" s="133"/>
      <c r="L86" s="34"/>
      <c r="M86" s="8"/>
    </row>
    <row r="87" spans="1:13" x14ac:dyDescent="0.25">
      <c r="A87" s="39">
        <v>2036</v>
      </c>
      <c r="B87" s="147">
        <f>'Population Projections'!$G$9/5</f>
        <v>1721.4</v>
      </c>
      <c r="C87" s="89" t="s">
        <v>445</v>
      </c>
      <c r="D87" s="54">
        <f>VLOOKUP(A87,'Escalation Factors'!$E$17:$F$44,2,FALSE)</f>
        <v>1.2961599231063914</v>
      </c>
      <c r="E87" s="102">
        <f>B87*D87*'Wastewater - Charge'!$D$42</f>
        <v>7988132.3030334758</v>
      </c>
      <c r="F87" s="103"/>
      <c r="G87" s="35"/>
      <c r="H87" s="34"/>
      <c r="I87" s="34"/>
      <c r="J87" s="34"/>
      <c r="K87" s="133"/>
      <c r="L87" s="34"/>
      <c r="M87" s="8"/>
    </row>
    <row r="88" spans="1:13" x14ac:dyDescent="0.25">
      <c r="A88" s="39">
        <v>2036</v>
      </c>
      <c r="B88" s="147">
        <f>'Population Projections'!$J$9/5</f>
        <v>2233741</v>
      </c>
      <c r="C88" s="89" t="s">
        <v>446</v>
      </c>
      <c r="D88" s="54">
        <f>VLOOKUP(A88,'Escalation Factors'!$E$17:$F$44,2,FALSE)</f>
        <v>1.2961599231063914</v>
      </c>
      <c r="E88" s="102">
        <f>B88*D88*'Wastewater - Charge'!$D$48</f>
        <v>7076367.3297928963</v>
      </c>
      <c r="F88" s="103"/>
      <c r="G88" s="35"/>
      <c r="H88" s="34"/>
      <c r="I88" s="34"/>
      <c r="J88" s="34"/>
      <c r="K88" s="133"/>
      <c r="L88" s="34"/>
      <c r="M88" s="8"/>
    </row>
    <row r="89" spans="1:13" x14ac:dyDescent="0.25">
      <c r="A89" s="137">
        <v>2036</v>
      </c>
      <c r="B89" s="152"/>
      <c r="C89" s="60"/>
      <c r="D89" s="55"/>
      <c r="E89" s="101">
        <f>SUBTOTAL(9,E86:E88)</f>
        <v>19243164.310551241</v>
      </c>
      <c r="F89" s="103">
        <f>F85+E89</f>
        <v>311150716.908737</v>
      </c>
      <c r="G89" s="35">
        <f>'Wastewater - Phase Costs'!$O$91/5</f>
        <v>30060545.672745597</v>
      </c>
      <c r="H89" s="34">
        <f>G89+H85</f>
        <v>279495110.00783408</v>
      </c>
      <c r="I89" s="34">
        <f>F89-H89</f>
        <v>31655606.900902927</v>
      </c>
      <c r="J89" s="34">
        <f>I89*(IF(L85&gt;0,$N$9,$N$6))</f>
        <v>400443.42729642201</v>
      </c>
      <c r="K89" s="133">
        <f>(1+(IF(L85&gt;0,$N$9,$N$6)))*K85+J89</f>
        <v>-1370925.4562604518</v>
      </c>
      <c r="L89" s="34">
        <f>I89+K89</f>
        <v>30284681.444642477</v>
      </c>
      <c r="M89" s="8"/>
    </row>
    <row r="90" spans="1:13" x14ac:dyDescent="0.25">
      <c r="A90" s="39">
        <v>2037</v>
      </c>
      <c r="B90" s="147">
        <f>'Population Projections'!$F$9/5</f>
        <v>604.79999999999995</v>
      </c>
      <c r="C90" s="89" t="s">
        <v>444</v>
      </c>
      <c r="D90" s="54">
        <f>VLOOKUP(A90,'Escalation Factors'!$E$17:$F$44,2,FALSE)</f>
        <v>1.3160899261738668</v>
      </c>
      <c r="E90" s="102">
        <f>B90*D90*'Wastewater - Charge'!$D$40</f>
        <v>4242916.6256214008</v>
      </c>
      <c r="F90" s="103"/>
      <c r="G90" s="35"/>
      <c r="H90" s="34"/>
      <c r="I90" s="34"/>
      <c r="J90" s="34"/>
      <c r="K90" s="133"/>
      <c r="L90" s="34"/>
      <c r="M90" s="8"/>
    </row>
    <row r="91" spans="1:13" x14ac:dyDescent="0.25">
      <c r="A91" s="39">
        <v>2037</v>
      </c>
      <c r="B91" s="147">
        <f>'Population Projections'!$G$9/5</f>
        <v>1721.4</v>
      </c>
      <c r="C91" s="89" t="s">
        <v>445</v>
      </c>
      <c r="D91" s="54">
        <f>VLOOKUP(A91,'Escalation Factors'!$E$17:$F$44,2,FALSE)</f>
        <v>1.3160899261738668</v>
      </c>
      <c r="E91" s="102">
        <f>B91*D91*'Wastewater - Charge'!$D$42</f>
        <v>8110959.3542829137</v>
      </c>
      <c r="F91" s="103"/>
      <c r="G91" s="35"/>
      <c r="H91" s="34"/>
      <c r="I91" s="34"/>
      <c r="J91" s="34"/>
      <c r="K91" s="133"/>
      <c r="L91" s="34"/>
      <c r="M91" s="8"/>
    </row>
    <row r="92" spans="1:13" x14ac:dyDescent="0.25">
      <c r="A92" s="39">
        <v>2037</v>
      </c>
      <c r="B92" s="147">
        <f>'Population Projections'!$J$9/5</f>
        <v>2233741</v>
      </c>
      <c r="C92" s="89" t="s">
        <v>446</v>
      </c>
      <c r="D92" s="54">
        <f>VLOOKUP(A92,'Escalation Factors'!$E$17:$F$44,2,FALSE)</f>
        <v>1.3160899261738668</v>
      </c>
      <c r="E92" s="102">
        <f>B92*D92*'Wastewater - Charge'!$D$48</f>
        <v>7185174.908298607</v>
      </c>
      <c r="F92" s="103"/>
      <c r="G92" s="35"/>
      <c r="H92" s="34"/>
      <c r="I92" s="34"/>
      <c r="J92" s="34"/>
      <c r="K92" s="133"/>
      <c r="L92" s="34"/>
      <c r="M92" s="8"/>
    </row>
    <row r="93" spans="1:13" x14ac:dyDescent="0.25">
      <c r="A93" s="137">
        <v>2037</v>
      </c>
      <c r="B93" s="152"/>
      <c r="C93" s="60"/>
      <c r="D93" s="55"/>
      <c r="E93" s="101">
        <f>SUBTOTAL(9,E90:E92)</f>
        <v>19539050.888202921</v>
      </c>
      <c r="F93" s="103">
        <f>F89+E93</f>
        <v>330689767.79693991</v>
      </c>
      <c r="G93" s="35">
        <f>'Wastewater - Phase Costs'!$O$91/5</f>
        <v>30060545.672745597</v>
      </c>
      <c r="H93" s="34">
        <f>G93+H89</f>
        <v>309555655.68057966</v>
      </c>
      <c r="I93" s="34">
        <f>F93-H93</f>
        <v>21134112.116360247</v>
      </c>
      <c r="J93" s="34">
        <f>I93*(IF(L89&gt;0,$N$9,$N$6))</f>
        <v>267346.51827195712</v>
      </c>
      <c r="K93" s="133">
        <f>(1+(IF(L89&gt;0,$N$9,$N$6)))*K89+J93</f>
        <v>-1120921.1450101896</v>
      </c>
      <c r="L93" s="34">
        <f>I93+K93</f>
        <v>20013190.971350059</v>
      </c>
      <c r="M93" s="8"/>
    </row>
    <row r="94" spans="1:13" x14ac:dyDescent="0.25">
      <c r="A94" s="39">
        <v>2038</v>
      </c>
      <c r="B94" s="147">
        <f>'Population Projections'!$F$9/5</f>
        <v>604.79999999999995</v>
      </c>
      <c r="C94" s="89" t="s">
        <v>444</v>
      </c>
      <c r="D94" s="54">
        <f>VLOOKUP(A94,'Escalation Factors'!$E$17:$F$44,2,FALSE)</f>
        <v>1.3363263767831837</v>
      </c>
      <c r="E94" s="102">
        <f>B94*D94*'Wastewater - Charge'!$D$40</f>
        <v>4308156.5237668511</v>
      </c>
      <c r="F94" s="103"/>
      <c r="G94" s="35"/>
      <c r="H94" s="34"/>
      <c r="I94" s="34"/>
      <c r="J94" s="34"/>
      <c r="K94" s="133"/>
      <c r="L94" s="34"/>
      <c r="M94" s="8"/>
    </row>
    <row r="95" spans="1:13" x14ac:dyDescent="0.25">
      <c r="A95" s="39">
        <v>2038</v>
      </c>
      <c r="B95" s="147">
        <f>'Population Projections'!$G$9/5</f>
        <v>1721.4</v>
      </c>
      <c r="C95" s="89" t="s">
        <v>445</v>
      </c>
      <c r="D95" s="54">
        <f>VLOOKUP(A95,'Escalation Factors'!$E$17:$F$44,2,FALSE)</f>
        <v>1.3363263767831837</v>
      </c>
      <c r="E95" s="102">
        <f>B95*D95*'Wastewater - Charge'!$D$42</f>
        <v>8235675.0177819142</v>
      </c>
      <c r="F95" s="103"/>
      <c r="G95" s="35"/>
      <c r="H95" s="34"/>
      <c r="I95" s="34"/>
      <c r="J95" s="34"/>
      <c r="K95" s="133"/>
      <c r="L95" s="34"/>
      <c r="M95" s="8"/>
    </row>
    <row r="96" spans="1:13" x14ac:dyDescent="0.25">
      <c r="A96" s="39">
        <v>2038</v>
      </c>
      <c r="B96" s="147">
        <f>'Population Projections'!$J$9/5</f>
        <v>2233741</v>
      </c>
      <c r="C96" s="89" t="s">
        <v>446</v>
      </c>
      <c r="D96" s="54">
        <f>VLOOKUP(A96,'Escalation Factors'!$E$17:$F$44,2,FALSE)</f>
        <v>1.3363263767831837</v>
      </c>
      <c r="E96" s="102">
        <f>B96*D96*'Wastewater - Charge'!$D$48</f>
        <v>7295655.532957593</v>
      </c>
      <c r="F96" s="103"/>
      <c r="G96" s="35"/>
      <c r="H96" s="34"/>
      <c r="I96" s="34"/>
      <c r="J96" s="34"/>
      <c r="K96" s="133"/>
      <c r="L96" s="34"/>
      <c r="M96" s="8"/>
    </row>
    <row r="97" spans="1:14" x14ac:dyDescent="0.25">
      <c r="A97" s="137">
        <v>2038</v>
      </c>
      <c r="B97" s="152"/>
      <c r="C97" s="60"/>
      <c r="D97" s="55"/>
      <c r="E97" s="101">
        <f>SUBTOTAL(9,E94:E96)</f>
        <v>19839487.074506357</v>
      </c>
      <c r="F97" s="103">
        <f>F93+E97</f>
        <v>350529254.87144625</v>
      </c>
      <c r="G97" s="35">
        <f>'Wastewater - Phase Costs'!$O$91/5</f>
        <v>30060545.672745597</v>
      </c>
      <c r="H97" s="34">
        <f>G97+H93</f>
        <v>339616201.35332525</v>
      </c>
      <c r="I97" s="34">
        <f>F97-H97</f>
        <v>10913053.518121004</v>
      </c>
      <c r="J97" s="34">
        <f>I97*(IF(L93&gt;0,$N$9,$N$6))</f>
        <v>138050.12700423069</v>
      </c>
      <c r="K97" s="133">
        <f>(1+(IF(L93&gt;0,$N$9,$N$6)))*K93+J97</f>
        <v>-997050.670490338</v>
      </c>
      <c r="L97" s="34">
        <f>I97+K97</f>
        <v>9916002.8476306666</v>
      </c>
      <c r="M97" s="8"/>
    </row>
    <row r="98" spans="1:14" x14ac:dyDescent="0.25">
      <c r="A98" s="39">
        <v>2039</v>
      </c>
      <c r="B98" s="147">
        <f>'Population Projections'!$F$9/5</f>
        <v>604.79999999999995</v>
      </c>
      <c r="C98" s="89" t="s">
        <v>444</v>
      </c>
      <c r="D98" s="54">
        <f>VLOOKUP(A98,'Escalation Factors'!$E$17:$F$44,2,FALSE)</f>
        <v>1.3568739869304007</v>
      </c>
      <c r="E98" s="102">
        <f>B98*D98*'Wastewater - Charge'!$D$40</f>
        <v>4374399.5630733436</v>
      </c>
      <c r="F98" s="103"/>
      <c r="G98" s="35"/>
      <c r="H98" s="34"/>
      <c r="I98" s="34"/>
      <c r="J98" s="34"/>
      <c r="K98" s="133"/>
      <c r="L98" s="34"/>
      <c r="M98" s="8"/>
    </row>
    <row r="99" spans="1:14" x14ac:dyDescent="0.25">
      <c r="A99" s="39">
        <v>2039</v>
      </c>
      <c r="B99" s="147">
        <f>'Population Projections'!$G$9/5</f>
        <v>1721.4</v>
      </c>
      <c r="C99" s="89" t="s">
        <v>445</v>
      </c>
      <c r="D99" s="54">
        <f>VLOOKUP(A99,'Escalation Factors'!$E$17:$F$44,2,FALSE)</f>
        <v>1.3568739869304007</v>
      </c>
      <c r="E99" s="102">
        <f>B99*D99*'Wastewater - Charge'!$D$42</f>
        <v>8362308.3331939112</v>
      </c>
      <c r="F99" s="103"/>
      <c r="G99" s="35"/>
      <c r="H99" s="34"/>
      <c r="I99" s="34"/>
      <c r="J99" s="34"/>
      <c r="K99" s="133"/>
      <c r="L99" s="34"/>
      <c r="M99" s="8"/>
    </row>
    <row r="100" spans="1:14" x14ac:dyDescent="0.25">
      <c r="A100" s="39">
        <v>2039</v>
      </c>
      <c r="B100" s="147">
        <f>'Population Projections'!$J$9/5</f>
        <v>2233741</v>
      </c>
      <c r="C100" s="89" t="s">
        <v>446</v>
      </c>
      <c r="D100" s="54">
        <f>VLOOKUP(A100,'Escalation Factors'!$E$17:$F$44,2,FALSE)</f>
        <v>1.3568739869304007</v>
      </c>
      <c r="E100" s="102">
        <f>B100*D100*'Wastewater - Charge'!$D$48</f>
        <v>7407834.9288477357</v>
      </c>
      <c r="F100" s="103"/>
      <c r="G100" s="35"/>
      <c r="H100" s="34"/>
      <c r="I100" s="34"/>
      <c r="J100" s="34"/>
      <c r="K100" s="133"/>
      <c r="L100" s="34"/>
      <c r="M100" s="8"/>
    </row>
    <row r="101" spans="1:14" ht="13" thickBot="1" x14ac:dyDescent="0.3">
      <c r="A101" s="217">
        <v>2039</v>
      </c>
      <c r="B101" s="218"/>
      <c r="C101" s="219"/>
      <c r="D101" s="220"/>
      <c r="E101" s="221">
        <f>SUBTOTAL(9,E98:E100)</f>
        <v>20144542.825114988</v>
      </c>
      <c r="F101" s="222">
        <f>F97+E101</f>
        <v>370673797.69656122</v>
      </c>
      <c r="G101" s="223">
        <f>'Wastewater - Phase Costs'!$O$91/5</f>
        <v>30060545.672745597</v>
      </c>
      <c r="H101" s="224">
        <f>G101+H97</f>
        <v>369676747.02607083</v>
      </c>
      <c r="I101" s="224">
        <f>F101-H101</f>
        <v>997050.6704903841</v>
      </c>
      <c r="J101" s="224">
        <f>I101*(IF(L97&gt;0,$N$9,$N$6))</f>
        <v>12612.690981703359</v>
      </c>
      <c r="K101" s="225">
        <f>(1+(IF(L97&gt;0,$N$9,$N$6)))*K97+J101</f>
        <v>-997050.67049033754</v>
      </c>
      <c r="L101" s="224">
        <f>I101+K101</f>
        <v>4.6566128730773926E-8</v>
      </c>
      <c r="M101" s="8"/>
    </row>
    <row r="102" spans="1:14" ht="13" thickTop="1" x14ac:dyDescent="0.25">
      <c r="A102" s="137"/>
      <c r="B102" s="152"/>
      <c r="C102" s="60"/>
      <c r="D102" s="55"/>
      <c r="E102" s="101"/>
      <c r="F102" s="103"/>
      <c r="G102" s="35"/>
      <c r="H102" s="34"/>
      <c r="I102" s="34"/>
      <c r="J102" s="34"/>
      <c r="K102" s="133"/>
      <c r="L102" s="34"/>
      <c r="M102" s="8"/>
    </row>
    <row r="103" spans="1:14" ht="13" x14ac:dyDescent="0.3">
      <c r="A103" s="4" t="s">
        <v>7</v>
      </c>
      <c r="B103" s="154"/>
      <c r="C103" s="90"/>
      <c r="D103" s="91"/>
      <c r="E103" s="92">
        <f>SUBTOTAL(9,E8:E101)</f>
        <v>370673797.69656128</v>
      </c>
      <c r="F103" s="92"/>
      <c r="G103" s="92">
        <f>SUBTOTAL(9,G8:G101)</f>
        <v>369676747.02607083</v>
      </c>
      <c r="H103" s="92"/>
      <c r="I103" s="92"/>
      <c r="J103" s="93"/>
      <c r="K103" s="131" t="s">
        <v>302</v>
      </c>
      <c r="L103" s="33">
        <v>-90075890.571221575</v>
      </c>
      <c r="M103" s="18"/>
    </row>
    <row r="104" spans="1:14" x14ac:dyDescent="0.25">
      <c r="A104" s="8"/>
      <c r="B104" s="153"/>
      <c r="C104" s="61"/>
      <c r="D104" s="17"/>
      <c r="E104" s="110"/>
      <c r="F104" s="28"/>
      <c r="G104" s="28"/>
      <c r="H104" s="28"/>
      <c r="I104" s="28"/>
      <c r="J104" s="28"/>
      <c r="M104" s="18"/>
    </row>
    <row r="105" spans="1:14" x14ac:dyDescent="0.25">
      <c r="A105" s="8"/>
      <c r="B105" s="212">
        <f>+B98+B94+B90+B86+B82+B78+B74+B70+B66+B62+B58+B54+B50+B46+B42+B38+B34+B30+B26+B22+B18</f>
        <v>11389.8</v>
      </c>
      <c r="C105" s="61" t="s">
        <v>444</v>
      </c>
      <c r="D105" s="211">
        <f>B105*'Population Projections'!G15</f>
        <v>23235.191999999999</v>
      </c>
      <c r="E105" s="110"/>
      <c r="F105" s="28"/>
      <c r="G105" s="25"/>
      <c r="H105" s="28"/>
      <c r="I105" s="28"/>
      <c r="M105" s="18"/>
    </row>
    <row r="106" spans="1:14" x14ac:dyDescent="0.25">
      <c r="A106" s="8"/>
      <c r="B106" s="212">
        <f t="shared" ref="B106:B107" si="0">+B99+B95+B91+B87+B83+B79+B75+B71+B67+B63+B59+B55+B51+B47+B43+B39+B35+B31+B27+B23+B19</f>
        <v>32418.799999999988</v>
      </c>
      <c r="C106" s="61" t="s">
        <v>445</v>
      </c>
      <c r="D106" s="211">
        <f>B106*'Population Projections'!G15</f>
        <v>66134.351999999984</v>
      </c>
      <c r="E106" s="18"/>
      <c r="F106" s="20"/>
      <c r="G106" s="20"/>
      <c r="H106" s="28"/>
      <c r="I106" s="28"/>
      <c r="J106" s="28"/>
      <c r="K106" s="27"/>
      <c r="L106" s="27"/>
      <c r="M106" s="18"/>
    </row>
    <row r="107" spans="1:14" ht="13" thickBot="1" x14ac:dyDescent="0.3">
      <c r="A107" s="8"/>
      <c r="B107" s="212">
        <f t="shared" si="0"/>
        <v>42068949.20000001</v>
      </c>
      <c r="C107" s="61" t="s">
        <v>446</v>
      </c>
      <c r="D107" s="213">
        <f>B107/'Population Projections'!G22</f>
        <v>51980.199715749055</v>
      </c>
      <c r="E107" s="18"/>
      <c r="F107" s="20"/>
      <c r="G107" s="20"/>
      <c r="H107" s="20"/>
      <c r="I107" s="28"/>
      <c r="J107" s="28"/>
      <c r="K107" s="27"/>
      <c r="L107" s="27"/>
      <c r="M107" s="18"/>
    </row>
    <row r="108" spans="1:14" ht="13" thickTop="1" x14ac:dyDescent="0.25">
      <c r="A108" s="8"/>
      <c r="B108" s="153"/>
      <c r="C108" s="61"/>
      <c r="D108" s="211">
        <f>SUM(D105:D107)</f>
        <v>141349.74371574903</v>
      </c>
      <c r="E108" s="104" t="s">
        <v>815</v>
      </c>
      <c r="F108" s="5"/>
      <c r="G108" s="214">
        <f>H101-'Wastewater - Phase Costs'!O94</f>
        <v>0</v>
      </c>
      <c r="H108" s="215" t="s">
        <v>816</v>
      </c>
      <c r="I108" s="28"/>
      <c r="N108" s="22" t="s">
        <v>25</v>
      </c>
    </row>
    <row r="109" spans="1:14" x14ac:dyDescent="0.25">
      <c r="E109" s="104"/>
      <c r="F109" s="5"/>
      <c r="G109" s="5"/>
    </row>
    <row r="110" spans="1:14" x14ac:dyDescent="0.25">
      <c r="E110" s="105"/>
      <c r="F110" s="5"/>
      <c r="G110" s="5"/>
    </row>
  </sheetData>
  <dataConsolidate/>
  <pageMargins left="0.5" right="0.5" top="0.5" bottom="0.5" header="0" footer="0"/>
  <pageSetup scale="6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99FF"/>
    <pageSetUpPr fitToPage="1"/>
  </sheetPr>
  <dimension ref="A1:O62"/>
  <sheetViews>
    <sheetView tabSelected="1" topLeftCell="A28" zoomScaleNormal="100" workbookViewId="0">
      <selection activeCell="A57" sqref="A57:D57"/>
    </sheetView>
  </sheetViews>
  <sheetFormatPr defaultRowHeight="12.5" x14ac:dyDescent="0.25"/>
  <cols>
    <col min="1" max="1" width="68.54296875" bestFit="1" customWidth="1"/>
    <col min="2" max="2" width="23.26953125" bestFit="1" customWidth="1"/>
    <col min="3" max="3" width="5.7265625" customWidth="1"/>
    <col min="4" max="4" width="13.90625" bestFit="1" customWidth="1"/>
    <col min="5" max="5" width="9" customWidth="1"/>
    <col min="6" max="6" width="31.81640625" style="5" bestFit="1" customWidth="1"/>
    <col min="7" max="7" width="13.453125" bestFit="1" customWidth="1"/>
    <col min="8" max="8" width="18" bestFit="1" customWidth="1"/>
    <col min="9" max="9" width="14.36328125" customWidth="1"/>
    <col min="10" max="15" width="10.1796875" bestFit="1" customWidth="1"/>
  </cols>
  <sheetData>
    <row r="1" spans="1:8" s="46" customFormat="1" ht="23" x14ac:dyDescent="0.5">
      <c r="A1" s="352" t="s">
        <v>803</v>
      </c>
      <c r="B1" s="352"/>
      <c r="C1" s="52"/>
      <c r="D1" s="52"/>
      <c r="E1" s="52"/>
      <c r="F1" s="76"/>
    </row>
    <row r="2" spans="1:8" ht="14.25" customHeight="1" x14ac:dyDescent="0.4">
      <c r="A2" s="37"/>
      <c r="B2" s="37"/>
      <c r="C2" s="6"/>
      <c r="D2" s="6"/>
      <c r="E2" s="6"/>
    </row>
    <row r="3" spans="1:8" x14ac:dyDescent="0.25">
      <c r="A3" s="6"/>
      <c r="B3" s="6"/>
      <c r="C3" s="6"/>
      <c r="D3" s="6"/>
      <c r="E3" s="6"/>
    </row>
    <row r="4" spans="1:8" ht="13" x14ac:dyDescent="0.3">
      <c r="A4" s="75" t="s">
        <v>786</v>
      </c>
      <c r="B4" s="7" t="s">
        <v>3</v>
      </c>
      <c r="C4" s="6"/>
      <c r="D4" s="135">
        <f>'Wastewater - Phase Costs'!H94</f>
        <v>874826811.78852999</v>
      </c>
      <c r="E4" s="6"/>
      <c r="G4" s="4"/>
      <c r="H4" s="62"/>
    </row>
    <row r="5" spans="1:8" ht="13" x14ac:dyDescent="0.3">
      <c r="A5" s="6"/>
      <c r="B5" s="7"/>
      <c r="C5" s="6"/>
      <c r="D5" s="135"/>
      <c r="E5" s="6"/>
      <c r="G5" s="23"/>
      <c r="H5" s="53"/>
    </row>
    <row r="6" spans="1:8" ht="13" x14ac:dyDescent="0.3">
      <c r="A6" s="75" t="s">
        <v>785</v>
      </c>
      <c r="B6" s="7" t="s">
        <v>305</v>
      </c>
      <c r="C6" s="6"/>
      <c r="D6" s="135">
        <f>'Wastewater - Phase Costs'!I94</f>
        <v>15320650.328880977</v>
      </c>
      <c r="E6" s="43" t="s">
        <v>710</v>
      </c>
      <c r="G6" s="23"/>
      <c r="H6" s="53"/>
    </row>
    <row r="7" spans="1:8" ht="13.5" thickBot="1" x14ac:dyDescent="0.35">
      <c r="A7" s="6"/>
      <c r="B7" s="7"/>
      <c r="C7" s="6"/>
      <c r="D7" s="135"/>
      <c r="E7" s="6"/>
      <c r="G7" s="23"/>
      <c r="H7" s="53"/>
    </row>
    <row r="8" spans="1:8" ht="13" x14ac:dyDescent="0.3">
      <c r="A8" s="75" t="s">
        <v>787</v>
      </c>
      <c r="B8" s="7" t="s">
        <v>447</v>
      </c>
      <c r="C8" s="6"/>
      <c r="D8" s="196">
        <f>D6+D4</f>
        <v>890147462.11741102</v>
      </c>
      <c r="E8" s="6"/>
      <c r="F8" s="155"/>
      <c r="G8" s="23"/>
      <c r="H8" s="53"/>
    </row>
    <row r="9" spans="1:8" ht="13" x14ac:dyDescent="0.3">
      <c r="A9" s="6"/>
      <c r="B9" s="7"/>
      <c r="C9" s="6"/>
      <c r="D9" s="135"/>
      <c r="E9" s="6"/>
      <c r="G9" s="23"/>
      <c r="H9" s="53"/>
    </row>
    <row r="10" spans="1:8" ht="13" x14ac:dyDescent="0.3">
      <c r="A10" s="75" t="s">
        <v>788</v>
      </c>
      <c r="B10" s="41" t="s">
        <v>716</v>
      </c>
      <c r="C10" s="6"/>
      <c r="D10" s="135">
        <f>-'Wastewater - Phase Costs'!L94</f>
        <v>-410318995.31213766</v>
      </c>
      <c r="E10" s="43" t="s">
        <v>711</v>
      </c>
      <c r="G10" s="23"/>
      <c r="H10" s="53"/>
    </row>
    <row r="11" spans="1:8" ht="13" x14ac:dyDescent="0.3">
      <c r="B11" s="7"/>
      <c r="C11" s="6"/>
      <c r="D11" s="135"/>
      <c r="E11" s="6"/>
      <c r="G11" s="23"/>
      <c r="H11" s="53"/>
    </row>
    <row r="12" spans="1:8" ht="13" x14ac:dyDescent="0.3">
      <c r="A12" s="75" t="s">
        <v>789</v>
      </c>
      <c r="B12" s="41" t="str">
        <f>_xlfn.CONCAT("(E) = ((C) - (D)) * ",TEXT('Population Projections'!C36 * 100,"0.0"),"%")</f>
        <v>(E) = ((C) - (D)) * 23.4%</v>
      </c>
      <c r="C12" s="6"/>
      <c r="D12" s="135">
        <f>-'Wastewater - Phase Costs'!N94</f>
        <v>-110151719.77920252</v>
      </c>
      <c r="E12" s="43" t="s">
        <v>712</v>
      </c>
      <c r="G12" s="23"/>
      <c r="H12" s="53"/>
    </row>
    <row r="13" spans="1:8" ht="13.5" thickBot="1" x14ac:dyDescent="0.35">
      <c r="A13" s="75"/>
      <c r="B13" s="7"/>
      <c r="C13" s="6"/>
      <c r="D13" s="135"/>
      <c r="E13" s="6"/>
      <c r="G13" s="23"/>
      <c r="H13" s="53"/>
    </row>
    <row r="14" spans="1:8" ht="13" x14ac:dyDescent="0.3">
      <c r="A14" s="75" t="s">
        <v>790</v>
      </c>
      <c r="B14" s="7" t="s">
        <v>448</v>
      </c>
      <c r="C14" s="6"/>
      <c r="D14" s="196">
        <f>'Wastewater - Phase Costs'!O94</f>
        <v>369676747.02607095</v>
      </c>
      <c r="E14" s="6"/>
      <c r="F14" s="155"/>
      <c r="G14" s="23"/>
      <c r="H14" s="53"/>
    </row>
    <row r="15" spans="1:8" ht="13" x14ac:dyDescent="0.3">
      <c r="A15" s="6"/>
      <c r="B15" s="7"/>
      <c r="C15" s="6"/>
      <c r="D15" s="135"/>
      <c r="E15" s="6"/>
      <c r="G15" s="23"/>
      <c r="H15" s="53"/>
    </row>
    <row r="16" spans="1:8" ht="13" x14ac:dyDescent="0.3">
      <c r="A16" s="63" t="s">
        <v>791</v>
      </c>
      <c r="B16" s="64" t="s">
        <v>449</v>
      </c>
      <c r="C16" s="84"/>
      <c r="D16" s="198">
        <f>'Wastewater - Financial Model'!L103</f>
        <v>-90075890.571221575</v>
      </c>
      <c r="E16" s="44" t="s">
        <v>713</v>
      </c>
      <c r="G16" s="23"/>
      <c r="H16" s="53"/>
    </row>
    <row r="17" spans="1:8" ht="13.5" thickBot="1" x14ac:dyDescent="0.35">
      <c r="A17" s="6"/>
      <c r="B17" s="7"/>
      <c r="C17" s="6"/>
      <c r="D17" s="135"/>
      <c r="E17" s="6"/>
      <c r="G17" s="23"/>
      <c r="H17" s="53"/>
    </row>
    <row r="18" spans="1:8" ht="13.5" thickBot="1" x14ac:dyDescent="0.35">
      <c r="A18" s="75" t="s">
        <v>792</v>
      </c>
      <c r="B18" s="7" t="s">
        <v>450</v>
      </c>
      <c r="C18" s="6"/>
      <c r="D18" s="197">
        <f>D14+D16</f>
        <v>279600856.45484936</v>
      </c>
      <c r="E18" s="6"/>
      <c r="G18" s="23"/>
      <c r="H18" s="53"/>
    </row>
    <row r="19" spans="1:8" ht="13.5" thickTop="1" x14ac:dyDescent="0.3">
      <c r="A19" s="6"/>
      <c r="B19" s="7"/>
      <c r="C19" s="6"/>
      <c r="D19" s="135"/>
      <c r="E19" s="6"/>
      <c r="G19" s="23"/>
      <c r="H19" s="53"/>
    </row>
    <row r="20" spans="1:8" ht="13" x14ac:dyDescent="0.3">
      <c r="A20" s="75" t="s">
        <v>793</v>
      </c>
      <c r="B20" s="7" t="s">
        <v>451</v>
      </c>
      <c r="C20" s="6"/>
      <c r="D20" s="267">
        <f>D28/(D28+D30)</f>
        <v>0.6322589317297489</v>
      </c>
      <c r="E20" s="75"/>
      <c r="G20" s="23"/>
      <c r="H20" s="53"/>
    </row>
    <row r="21" spans="1:8" ht="13" x14ac:dyDescent="0.3">
      <c r="A21" s="6"/>
      <c r="B21" s="7"/>
      <c r="C21" s="6"/>
      <c r="D21" s="268"/>
      <c r="E21" s="6"/>
      <c r="F21" s="83"/>
      <c r="G21" s="23"/>
      <c r="H21" s="53"/>
    </row>
    <row r="22" spans="1:8" ht="13" x14ac:dyDescent="0.3">
      <c r="A22" s="75" t="s">
        <v>858</v>
      </c>
      <c r="B22" s="7" t="s">
        <v>306</v>
      </c>
      <c r="C22" s="6"/>
      <c r="D22" s="267">
        <f>D30/(D28+D30)</f>
        <v>0.3677410682702511</v>
      </c>
      <c r="E22" s="75"/>
      <c r="G22" s="23"/>
      <c r="H22" s="53"/>
    </row>
    <row r="23" spans="1:8" ht="13" x14ac:dyDescent="0.3">
      <c r="A23" s="6"/>
      <c r="B23" s="7"/>
      <c r="C23" s="6"/>
      <c r="D23" s="111"/>
      <c r="E23" s="21"/>
      <c r="G23" s="23"/>
      <c r="H23" s="53"/>
    </row>
    <row r="24" spans="1:8" ht="13" x14ac:dyDescent="0.3">
      <c r="A24" s="75" t="s">
        <v>794</v>
      </c>
      <c r="B24" s="7" t="s">
        <v>452</v>
      </c>
      <c r="C24" s="6"/>
      <c r="D24" s="142">
        <f>D20*D18</f>
        <v>176780138.81286591</v>
      </c>
      <c r="E24" s="75"/>
      <c r="G24" s="23"/>
      <c r="H24" s="53"/>
    </row>
    <row r="25" spans="1:8" ht="13" x14ac:dyDescent="0.3">
      <c r="A25" s="6"/>
      <c r="B25" s="7"/>
      <c r="C25" s="6"/>
      <c r="D25" s="136"/>
      <c r="E25" s="21"/>
      <c r="G25" s="23"/>
      <c r="H25" s="53"/>
    </row>
    <row r="26" spans="1:8" ht="13" x14ac:dyDescent="0.3">
      <c r="A26" s="75" t="s">
        <v>795</v>
      </c>
      <c r="B26" s="7" t="s">
        <v>453</v>
      </c>
      <c r="C26" s="6"/>
      <c r="D26" s="142">
        <f>D18*D22</f>
        <v>102820717.64198343</v>
      </c>
      <c r="E26" s="14"/>
      <c r="F26" s="70"/>
      <c r="G26" s="23"/>
      <c r="H26" s="53"/>
    </row>
    <row r="27" spans="1:8" ht="13" x14ac:dyDescent="0.3">
      <c r="A27" s="75"/>
      <c r="B27" s="7"/>
      <c r="C27" s="6"/>
    </row>
    <row r="28" spans="1:8" ht="13" x14ac:dyDescent="0.3">
      <c r="A28" s="75" t="s">
        <v>845</v>
      </c>
      <c r="B28" s="7" t="s">
        <v>441</v>
      </c>
      <c r="C28" s="6"/>
      <c r="D28" s="143">
        <f>'Population Projections'!J30</f>
        <v>89369.8</v>
      </c>
      <c r="E28" s="44" t="s">
        <v>714</v>
      </c>
    </row>
    <row r="29" spans="1:8" ht="13" x14ac:dyDescent="0.3">
      <c r="A29" s="75"/>
      <c r="B29" s="7"/>
      <c r="C29" s="6"/>
    </row>
    <row r="30" spans="1:8" ht="13" x14ac:dyDescent="0.3">
      <c r="A30" s="75" t="s">
        <v>859</v>
      </c>
      <c r="B30" s="7" t="s">
        <v>443</v>
      </c>
      <c r="C30" s="6"/>
      <c r="D30" s="143">
        <f>'Population Projections'!K30</f>
        <v>51980.2</v>
      </c>
      <c r="E30" s="44" t="s">
        <v>715</v>
      </c>
    </row>
    <row r="31" spans="1:8" ht="13" x14ac:dyDescent="0.3">
      <c r="A31" s="75"/>
      <c r="B31" s="7"/>
      <c r="C31" s="6"/>
    </row>
    <row r="32" spans="1:8" ht="13" x14ac:dyDescent="0.3">
      <c r="A32" s="75" t="s">
        <v>796</v>
      </c>
      <c r="B32" s="7" t="str">
        <f>_xlfn.CONCAT("(M) = (K) / ",'Population Projections'!G15," ppu")</f>
        <v>(M) = (K) / 2.04 ppu</v>
      </c>
      <c r="C32" s="6"/>
      <c r="D32" s="144">
        <f>ROUND(D28/'Population Projections'!G15,0)</f>
        <v>43809</v>
      </c>
    </row>
    <row r="33" spans="1:15" ht="13" x14ac:dyDescent="0.3">
      <c r="A33" s="75"/>
      <c r="B33" s="7"/>
      <c r="C33" s="6"/>
      <c r="D33" s="144"/>
    </row>
    <row r="34" spans="1:15" ht="13" x14ac:dyDescent="0.3">
      <c r="A34" s="75" t="s">
        <v>797</v>
      </c>
      <c r="B34" s="7" t="str">
        <f>_xlfn.CONCAT("(N) = (M) * ",'Population Projections'!G17*100,"%")</f>
        <v>(N) = (M) * 26%</v>
      </c>
      <c r="C34" s="6"/>
      <c r="D34" s="144">
        <f>ROUND(D32*'Population Projections'!G17,0)</f>
        <v>11390</v>
      </c>
      <c r="E34" s="62" t="s">
        <v>442</v>
      </c>
    </row>
    <row r="35" spans="1:15" ht="13" x14ac:dyDescent="0.3">
      <c r="A35" s="75"/>
      <c r="B35" s="7"/>
      <c r="C35" s="6"/>
      <c r="D35" s="144"/>
    </row>
    <row r="36" spans="1:15" ht="13" x14ac:dyDescent="0.3">
      <c r="A36" s="75" t="s">
        <v>798</v>
      </c>
      <c r="B36" s="7" t="str">
        <f>_xlfn.CONCAT("(O) = (M) * ",'Population Projections'!G18*100,"%")</f>
        <v>(O) = (M) * 74%</v>
      </c>
      <c r="C36" s="6"/>
      <c r="D36" s="144">
        <f>ROUND(D32*'Population Projections'!G18,0)</f>
        <v>32419</v>
      </c>
      <c r="E36" s="62" t="s">
        <v>442</v>
      </c>
    </row>
    <row r="37" spans="1:15" ht="13" x14ac:dyDescent="0.3">
      <c r="A37" s="75"/>
      <c r="B37" s="7"/>
      <c r="C37" s="6"/>
      <c r="H37" s="62" t="s">
        <v>831</v>
      </c>
    </row>
    <row r="38" spans="1:15" ht="13" x14ac:dyDescent="0.3">
      <c r="A38" s="75" t="s">
        <v>799</v>
      </c>
      <c r="B38" s="7" t="s">
        <v>454</v>
      </c>
      <c r="C38" s="6"/>
      <c r="D38" s="204">
        <f>3.35/2.25</f>
        <v>1.4888888888888889</v>
      </c>
      <c r="E38" s="44" t="s">
        <v>865</v>
      </c>
    </row>
    <row r="39" spans="1:15" ht="13" x14ac:dyDescent="0.3">
      <c r="A39" s="75"/>
      <c r="B39" s="7"/>
      <c r="C39" s="6"/>
      <c r="H39" s="231"/>
      <c r="I39" s="232">
        <v>2019</v>
      </c>
      <c r="J39" s="232">
        <v>2020</v>
      </c>
      <c r="K39" s="232">
        <v>2021</v>
      </c>
      <c r="L39" s="232">
        <v>2022</v>
      </c>
      <c r="M39" s="232">
        <v>2023</v>
      </c>
      <c r="N39" s="232">
        <v>2024</v>
      </c>
      <c r="O39" s="232">
        <v>2025</v>
      </c>
    </row>
    <row r="40" spans="1:15" ht="13" x14ac:dyDescent="0.3">
      <c r="A40" s="75" t="s">
        <v>800</v>
      </c>
      <c r="B40" s="7" t="s">
        <v>455</v>
      </c>
      <c r="C40" s="6"/>
      <c r="D40" s="160">
        <f>D24/(D34+(D36/D38))</f>
        <v>5330.4902150383632</v>
      </c>
      <c r="E40" s="70" t="s">
        <v>822</v>
      </c>
      <c r="F40" s="70" t="s">
        <v>821</v>
      </c>
      <c r="H40" s="233" t="s">
        <v>828</v>
      </c>
      <c r="I40" s="234">
        <f>$D$40*VLOOKUP(I39,'Escalation Factors'!$E$17:$F$44,2, FALSE)</f>
        <v>5330.4902150383632</v>
      </c>
      <c r="J40" s="234">
        <f>$D$40*VLOOKUP(J39,'Escalation Factors'!$E$17:$F$44,2, FALSE)</f>
        <v>5410.4475682639377</v>
      </c>
      <c r="K40" s="234">
        <f>$D$40*VLOOKUP(K39,'Escalation Factors'!$E$17:$F$44,2, FALSE)</f>
        <v>5495.6757638893114</v>
      </c>
      <c r="L40" s="234">
        <f>$D$40*VLOOKUP(L39,'Escalation Factors'!$E$17:$F$44,2, FALSE)</f>
        <v>5580.178326327491</v>
      </c>
      <c r="M40" s="234">
        <f>$D$40*VLOOKUP(M39,'Escalation Factors'!$E$17:$F$44,2, FALSE)</f>
        <v>5665.9802163398208</v>
      </c>
      <c r="N40" s="234">
        <f>$D$40*VLOOKUP(N39,'Escalation Factors'!$E$17:$F$44,2, FALSE)</f>
        <v>5753.1014126357795</v>
      </c>
      <c r="O40" s="234">
        <f>$D$40*VLOOKUP(O39,'Escalation Factors'!$E$17:$F$44,2, FALSE)</f>
        <v>5841.5622011213036</v>
      </c>
    </row>
    <row r="41" spans="1:15" ht="13" x14ac:dyDescent="0.3">
      <c r="A41" s="75"/>
      <c r="B41" s="7"/>
      <c r="C41" s="6"/>
      <c r="D41" s="5"/>
      <c r="E41" s="5"/>
      <c r="H41" s="233" t="s">
        <v>829</v>
      </c>
      <c r="I41" s="234">
        <f>$D$42*VLOOKUP(I39,'Escalation Factors'!$E$17:$F$44,2, FALSE)</f>
        <v>3580.1799951750195</v>
      </c>
      <c r="J41" s="234">
        <f>$D$42*VLOOKUP(J39,'Escalation Factors'!$E$17:$F$44,2, FALSE)</f>
        <v>3633.8826951026444</v>
      </c>
      <c r="K41" s="234">
        <f>$D$42*VLOOKUP(K39,'Escalation Factors'!$E$17:$F$44,2, FALSE)</f>
        <v>3691.1255130599848</v>
      </c>
      <c r="L41" s="234">
        <f>$D$42*VLOOKUP(L39,'Escalation Factors'!$E$17:$F$44,2, FALSE)</f>
        <v>3747.8809654438364</v>
      </c>
      <c r="M41" s="234">
        <f>$D$42*VLOOKUP(M39,'Escalation Factors'!$E$17:$F$44,2, FALSE)</f>
        <v>3805.509100526745</v>
      </c>
      <c r="N41" s="234">
        <f>$D$42*VLOOKUP(N39,'Escalation Factors'!$E$17:$F$44,2, FALSE)</f>
        <v>3864.0233368449258</v>
      </c>
      <c r="O41" s="234">
        <f>$D$42*VLOOKUP(O39,'Escalation Factors'!$E$17:$F$44,2, FALSE)</f>
        <v>3923.4372992605763</v>
      </c>
    </row>
    <row r="42" spans="1:15" ht="15" x14ac:dyDescent="0.3">
      <c r="A42" s="75" t="s">
        <v>801</v>
      </c>
      <c r="B42" s="7" t="s">
        <v>456</v>
      </c>
      <c r="C42" s="6"/>
      <c r="D42" s="160">
        <f>D24/(D36+(D34*D38))</f>
        <v>3580.1799951750195</v>
      </c>
      <c r="E42" s="70" t="s">
        <v>445</v>
      </c>
      <c r="F42" s="70" t="s">
        <v>821</v>
      </c>
      <c r="H42" s="233" t="s">
        <v>827</v>
      </c>
      <c r="I42" s="234">
        <f>$D$48*VLOOKUP(I39,'Escalation Factors'!$E$17:$F$44,2, FALSE)</f>
        <v>2.4440999605408211</v>
      </c>
      <c r="J42" s="234">
        <f>$D$48*VLOOKUP(J39,'Escalation Factors'!$E$17:$F$44,2, FALSE)</f>
        <v>2.4807614599489334</v>
      </c>
      <c r="K42" s="234">
        <f>$D$48*VLOOKUP(K39,'Escalation Factors'!$E$17:$F$44,2, FALSE)</f>
        <v>2.5198397100087995</v>
      </c>
      <c r="L42" s="234">
        <f>$D$48*VLOOKUP(L39,'Escalation Factors'!$E$17:$F$44,2, FALSE)</f>
        <v>2.5585852476965121</v>
      </c>
      <c r="M42" s="234">
        <f>$D$48*VLOOKUP(M39,'Escalation Factors'!$E$17:$F$44,2, FALSE)</f>
        <v>2.5979265441877497</v>
      </c>
      <c r="N42" s="234">
        <f>$D$48*VLOOKUP(N39,'Escalation Factors'!$E$17:$F$44,2, FALSE)</f>
        <v>2.6378727599839058</v>
      </c>
      <c r="O42" s="234">
        <f>$D$48*VLOOKUP(O39,'Escalation Factors'!$E$17:$F$44,2, FALSE)</f>
        <v>2.6784331964399972</v>
      </c>
    </row>
    <row r="43" spans="1:15" ht="15" x14ac:dyDescent="0.3">
      <c r="A43" s="75"/>
      <c r="B43" s="7"/>
      <c r="C43" s="6"/>
      <c r="D43" s="5"/>
      <c r="E43" s="5"/>
      <c r="H43" s="233" t="s">
        <v>826</v>
      </c>
      <c r="I43" s="234">
        <f>CONVERT(I42,"m^2","ft^2")</f>
        <v>26.308073024745166</v>
      </c>
      <c r="J43" s="234">
        <f t="shared" ref="J43:N43" si="0">CONVERT(J42,"m^2","ft^2")</f>
        <v>26.702694120116341</v>
      </c>
      <c r="K43" s="234">
        <f t="shared" si="0"/>
        <v>27.123328903002523</v>
      </c>
      <c r="L43" s="234">
        <f t="shared" si="0"/>
        <v>27.540382399720311</v>
      </c>
      <c r="M43" s="234">
        <f t="shared" si="0"/>
        <v>27.963848590829212</v>
      </c>
      <c r="N43" s="234">
        <f t="shared" si="0"/>
        <v>28.39382607914559</v>
      </c>
      <c r="O43" s="234">
        <f t="shared" ref="O43" si="1">CONVERT(O42,"m^2","ft^2")</f>
        <v>28.830414983621605</v>
      </c>
    </row>
    <row r="44" spans="1:15" ht="13" x14ac:dyDescent="0.3">
      <c r="A44" s="75" t="s">
        <v>890</v>
      </c>
      <c r="B44" s="7" t="s">
        <v>457</v>
      </c>
      <c r="C44" s="6"/>
      <c r="D44" s="161">
        <f>D26/D30</f>
        <v>1978.0746830905507</v>
      </c>
      <c r="E44" s="86" t="s">
        <v>889</v>
      </c>
      <c r="H44" s="5"/>
      <c r="I44" s="5"/>
      <c r="J44" s="70"/>
      <c r="K44" s="5"/>
    </row>
    <row r="45" spans="1:15" ht="13" x14ac:dyDescent="0.3">
      <c r="A45" s="75"/>
      <c r="B45" s="7"/>
      <c r="C45" s="6"/>
      <c r="D45" s="5"/>
      <c r="E45" s="5"/>
      <c r="H45" s="70"/>
      <c r="I45" s="70"/>
      <c r="J45" s="70"/>
      <c r="K45" s="5"/>
    </row>
    <row r="46" spans="1:15" ht="13" x14ac:dyDescent="0.3">
      <c r="A46" s="63" t="s">
        <v>871</v>
      </c>
      <c r="B46" s="7" t="s">
        <v>458</v>
      </c>
      <c r="C46" s="6"/>
      <c r="D46" s="143">
        <f>'Population Projections'!G22</f>
        <v>809.32642487046633</v>
      </c>
      <c r="E46" s="86" t="s">
        <v>888</v>
      </c>
      <c r="H46" s="70"/>
      <c r="I46" s="70"/>
      <c r="J46" s="70"/>
      <c r="K46" s="5"/>
    </row>
    <row r="47" spans="1:15" ht="13" x14ac:dyDescent="0.3">
      <c r="A47" s="75"/>
      <c r="B47" s="7"/>
      <c r="C47" s="6"/>
      <c r="D47" s="5"/>
      <c r="E47" s="5"/>
      <c r="H47" s="70"/>
      <c r="I47" s="70"/>
      <c r="J47" s="70"/>
      <c r="K47" s="5"/>
    </row>
    <row r="48" spans="1:15" ht="15" x14ac:dyDescent="0.3">
      <c r="A48" s="75" t="s">
        <v>802</v>
      </c>
      <c r="B48" s="7" t="s">
        <v>717</v>
      </c>
      <c r="C48" s="6"/>
      <c r="D48" s="189">
        <f>D44/D46</f>
        <v>2.4440999605408211</v>
      </c>
      <c r="E48" s="70" t="s">
        <v>754</v>
      </c>
      <c r="F48" s="70" t="s">
        <v>821</v>
      </c>
      <c r="H48" s="70"/>
      <c r="I48" s="5"/>
      <c r="J48" s="5"/>
      <c r="K48" s="5"/>
    </row>
    <row r="49" spans="1:12" ht="15" x14ac:dyDescent="0.3">
      <c r="A49" s="75"/>
      <c r="B49" s="7"/>
      <c r="C49" s="6"/>
      <c r="D49" s="190">
        <f>CONVERT(D48,"m^2","ft^2")</f>
        <v>26.308073024745166</v>
      </c>
      <c r="E49" s="70" t="s">
        <v>755</v>
      </c>
      <c r="F49" s="70" t="s">
        <v>821</v>
      </c>
      <c r="H49" s="70"/>
      <c r="I49" s="5"/>
      <c r="J49" s="5"/>
      <c r="K49" s="5"/>
    </row>
    <row r="50" spans="1:12" x14ac:dyDescent="0.25">
      <c r="A50" s="350" t="s">
        <v>719</v>
      </c>
      <c r="B50" s="351"/>
      <c r="C50" s="351"/>
      <c r="D50" s="351"/>
      <c r="H50" s="5"/>
      <c r="I50" s="5"/>
      <c r="J50" s="5"/>
      <c r="K50" s="5"/>
    </row>
    <row r="51" spans="1:12" x14ac:dyDescent="0.25">
      <c r="A51" s="350" t="s">
        <v>718</v>
      </c>
      <c r="B51" s="351"/>
      <c r="C51" s="351"/>
      <c r="D51" s="351"/>
      <c r="H51" s="5"/>
      <c r="I51" s="5"/>
      <c r="J51" s="5"/>
      <c r="K51" s="5"/>
    </row>
    <row r="52" spans="1:12" x14ac:dyDescent="0.25">
      <c r="A52" s="351" t="s">
        <v>846</v>
      </c>
      <c r="B52" s="351"/>
      <c r="C52" s="351"/>
      <c r="D52" s="351"/>
      <c r="E52" s="6"/>
    </row>
    <row r="53" spans="1:12" ht="11" customHeight="1" x14ac:dyDescent="0.25">
      <c r="A53" s="353" t="s">
        <v>869</v>
      </c>
      <c r="B53" s="354"/>
      <c r="C53" s="354"/>
      <c r="D53" s="354"/>
      <c r="E53" s="6"/>
      <c r="L53" s="216"/>
    </row>
    <row r="54" spans="1:12" ht="11" customHeight="1" x14ac:dyDescent="0.25">
      <c r="A54" s="354"/>
      <c r="B54" s="354"/>
      <c r="C54" s="354"/>
      <c r="D54" s="354"/>
      <c r="E54" s="6"/>
    </row>
    <row r="55" spans="1:12" x14ac:dyDescent="0.25">
      <c r="A55" s="350" t="s">
        <v>848</v>
      </c>
      <c r="B55" s="351"/>
      <c r="C55" s="351"/>
      <c r="D55" s="351"/>
      <c r="E55" s="6"/>
    </row>
    <row r="56" spans="1:12" ht="13" x14ac:dyDescent="0.3">
      <c r="A56" s="350" t="s">
        <v>849</v>
      </c>
      <c r="B56" s="351"/>
      <c r="C56" s="351"/>
      <c r="D56" s="351"/>
      <c r="E56" s="6"/>
      <c r="F56" s="156"/>
    </row>
    <row r="57" spans="1:12" x14ac:dyDescent="0.25">
      <c r="A57" s="350" t="s">
        <v>866</v>
      </c>
      <c r="B57" s="351"/>
      <c r="C57" s="351"/>
      <c r="D57" s="351"/>
      <c r="E57" s="6"/>
    </row>
    <row r="62" spans="1:12" ht="13" x14ac:dyDescent="0.3">
      <c r="A62" s="2"/>
    </row>
  </sheetData>
  <mergeCells count="8">
    <mergeCell ref="A57:D57"/>
    <mergeCell ref="A56:D56"/>
    <mergeCell ref="A55:D55"/>
    <mergeCell ref="A1:B1"/>
    <mergeCell ref="A52:D52"/>
    <mergeCell ref="A50:D50"/>
    <mergeCell ref="A51:D51"/>
    <mergeCell ref="A53:D54"/>
  </mergeCells>
  <pageMargins left="0.7" right="0.7" top="0.75" bottom="0.75" header="0.3" footer="0.3"/>
  <pageSetup scale="6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tint="-0.249977111117893"/>
  </sheetPr>
  <dimension ref="A1:I26"/>
  <sheetViews>
    <sheetView zoomScale="75" zoomScaleNormal="75" workbookViewId="0">
      <selection activeCell="A15" sqref="A15:H15"/>
    </sheetView>
  </sheetViews>
  <sheetFormatPr defaultRowHeight="12.5" x14ac:dyDescent="0.25"/>
  <cols>
    <col min="1" max="1" width="14" customWidth="1"/>
    <col min="3" max="3" width="10.1796875" bestFit="1" customWidth="1"/>
    <col min="5" max="6" width="10" customWidth="1"/>
    <col min="7" max="7" width="8.26953125" customWidth="1"/>
    <col min="8" max="8" width="7.81640625" customWidth="1"/>
    <col min="9" max="9" width="10.26953125" customWidth="1"/>
  </cols>
  <sheetData>
    <row r="1" spans="1:9" s="46" customFormat="1" ht="28" customHeight="1" x14ac:dyDescent="0.5">
      <c r="A1" s="130" t="s">
        <v>307</v>
      </c>
      <c r="B1" s="76"/>
      <c r="C1" s="76"/>
      <c r="D1" s="76"/>
      <c r="E1" s="76"/>
      <c r="F1" s="76"/>
    </row>
    <row r="2" spans="1:9" ht="28" customHeight="1" x14ac:dyDescent="0.4">
      <c r="A2" s="3"/>
    </row>
    <row r="4" spans="1:9" ht="13" x14ac:dyDescent="0.3">
      <c r="A4" s="2" t="s">
        <v>35</v>
      </c>
      <c r="H4" s="10">
        <v>1.77E-2</v>
      </c>
    </row>
    <row r="5" spans="1:9" x14ac:dyDescent="0.25">
      <c r="A5" s="359" t="s">
        <v>304</v>
      </c>
      <c r="B5" s="360"/>
      <c r="C5" s="360"/>
      <c r="D5" s="360"/>
      <c r="E5" s="360"/>
      <c r="F5" s="360"/>
      <c r="G5" s="360"/>
      <c r="H5" s="360"/>
    </row>
    <row r="6" spans="1:9" x14ac:dyDescent="0.25">
      <c r="A6" s="360"/>
      <c r="B6" s="360"/>
      <c r="C6" s="360"/>
      <c r="D6" s="360"/>
      <c r="E6" s="360"/>
      <c r="F6" s="360"/>
      <c r="G6" s="360"/>
      <c r="H6" s="360"/>
    </row>
    <row r="7" spans="1:9" ht="13" x14ac:dyDescent="0.3">
      <c r="A7" s="11"/>
    </row>
    <row r="8" spans="1:9" ht="13" x14ac:dyDescent="0.3">
      <c r="A8" s="2" t="s">
        <v>782</v>
      </c>
      <c r="H8" s="10">
        <v>2.9899999999999999E-2</v>
      </c>
    </row>
    <row r="9" spans="1:9" ht="31.5" customHeight="1" x14ac:dyDescent="0.3">
      <c r="A9" s="357" t="s">
        <v>303</v>
      </c>
      <c r="B9" s="358"/>
      <c r="C9" s="358"/>
      <c r="D9" s="358"/>
      <c r="E9" s="358"/>
      <c r="F9" s="358"/>
      <c r="G9" s="358"/>
      <c r="H9" s="358"/>
    </row>
    <row r="10" spans="1:9" x14ac:dyDescent="0.25">
      <c r="A10" s="62"/>
      <c r="H10" s="10"/>
    </row>
    <row r="11" spans="1:9" ht="13" x14ac:dyDescent="0.3">
      <c r="A11" s="70" t="s">
        <v>781</v>
      </c>
      <c r="B11" s="5"/>
      <c r="C11" s="5"/>
      <c r="D11" s="5"/>
      <c r="E11" s="5"/>
      <c r="F11" s="5"/>
      <c r="G11" s="5"/>
      <c r="H11" s="109">
        <v>3.0099999999999998E-2</v>
      </c>
    </row>
    <row r="12" spans="1:9" ht="32.25" customHeight="1" x14ac:dyDescent="0.3">
      <c r="A12" s="355" t="s">
        <v>303</v>
      </c>
      <c r="B12" s="356"/>
      <c r="C12" s="356"/>
      <c r="D12" s="356"/>
      <c r="E12" s="356"/>
      <c r="F12" s="356"/>
      <c r="G12" s="356"/>
      <c r="H12" s="356"/>
      <c r="I12" s="12"/>
    </row>
    <row r="14" spans="1:9" ht="13" x14ac:dyDescent="0.3">
      <c r="A14" s="70" t="s">
        <v>750</v>
      </c>
      <c r="B14" s="5"/>
      <c r="C14" s="5"/>
      <c r="D14" s="5"/>
      <c r="E14" s="5"/>
      <c r="F14" s="5"/>
      <c r="G14" s="5"/>
      <c r="H14" s="109">
        <v>1.265E-2</v>
      </c>
    </row>
    <row r="15" spans="1:9" ht="27" customHeight="1" x14ac:dyDescent="0.3">
      <c r="A15" s="355" t="s">
        <v>303</v>
      </c>
      <c r="B15" s="356"/>
      <c r="C15" s="356"/>
      <c r="D15" s="356"/>
      <c r="E15" s="356"/>
      <c r="F15" s="356"/>
      <c r="G15" s="356"/>
      <c r="H15" s="356"/>
    </row>
    <row r="17" spans="1:8" ht="13" x14ac:dyDescent="0.3">
      <c r="A17" s="2" t="s">
        <v>34</v>
      </c>
      <c r="B17" s="2"/>
      <c r="C17" s="2"/>
      <c r="D17" s="2"/>
      <c r="G17" s="10"/>
      <c r="H17" s="10">
        <f>'Non-Res Constr'!H38</f>
        <v>2.2404430743163832E-2</v>
      </c>
    </row>
    <row r="18" spans="1:8" ht="13" x14ac:dyDescent="0.3">
      <c r="A18" s="11" t="s">
        <v>868</v>
      </c>
      <c r="H18" s="10"/>
    </row>
    <row r="19" spans="1:8" ht="13" x14ac:dyDescent="0.3">
      <c r="A19" s="11"/>
    </row>
    <row r="20" spans="1:8" ht="13" x14ac:dyDescent="0.3">
      <c r="A20" s="70" t="s">
        <v>721</v>
      </c>
      <c r="B20" s="5"/>
      <c r="C20" s="5"/>
      <c r="D20" s="5"/>
      <c r="E20" s="5"/>
      <c r="F20" s="5"/>
      <c r="G20" s="109"/>
      <c r="H20" s="109">
        <f>CPI!D52</f>
        <v>1.5376191403689487E-2</v>
      </c>
    </row>
    <row r="21" spans="1:8" ht="13" x14ac:dyDescent="0.3">
      <c r="A21" s="11"/>
    </row>
    <row r="22" spans="1:8" ht="13" x14ac:dyDescent="0.3">
      <c r="A22" s="164" t="s">
        <v>722</v>
      </c>
      <c r="H22" s="82">
        <v>4.2860000000000002E-2</v>
      </c>
    </row>
    <row r="23" spans="1:8" ht="13" x14ac:dyDescent="0.3">
      <c r="A23" s="164"/>
    </row>
    <row r="24" spans="1:8" ht="13" x14ac:dyDescent="0.3">
      <c r="A24" s="2" t="s">
        <v>29</v>
      </c>
      <c r="H24" s="163" t="s">
        <v>28</v>
      </c>
    </row>
    <row r="25" spans="1:8" ht="13" x14ac:dyDescent="0.3">
      <c r="A25" s="2"/>
      <c r="H25" s="23"/>
    </row>
    <row r="26" spans="1:8" ht="13" x14ac:dyDescent="0.3">
      <c r="A26" s="2" t="s">
        <v>30</v>
      </c>
      <c r="H26" s="163" t="s">
        <v>28</v>
      </c>
    </row>
  </sheetData>
  <mergeCells count="4">
    <mergeCell ref="A12:H12"/>
    <mergeCell ref="A9:H9"/>
    <mergeCell ref="A5:H6"/>
    <mergeCell ref="A15:H1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tint="-0.249977111117893"/>
  </sheetPr>
  <dimension ref="A1:I44"/>
  <sheetViews>
    <sheetView topLeftCell="A19" zoomScale="115" workbookViewId="0">
      <selection activeCell="F19" sqref="F19"/>
    </sheetView>
  </sheetViews>
  <sheetFormatPr defaultColWidth="9.1796875" defaultRowHeight="12.5" x14ac:dyDescent="0.25"/>
  <cols>
    <col min="1" max="1" width="8.453125" style="5" customWidth="1"/>
    <col min="2" max="2" width="11.81640625" style="5" customWidth="1"/>
    <col min="3" max="4" width="9.1796875" style="5"/>
    <col min="5" max="5" width="13.81640625" style="5" customWidth="1"/>
    <col min="6" max="6" width="10.1796875" style="5" bestFit="1" customWidth="1"/>
    <col min="7" max="7" width="10.7265625" style="5" customWidth="1"/>
    <col min="8" max="8" width="10.453125" style="5" customWidth="1"/>
    <col min="9" max="9" width="11.26953125" style="5" bestFit="1" customWidth="1"/>
    <col min="10" max="16384" width="9.1796875" style="5"/>
  </cols>
  <sheetData>
    <row r="1" spans="1:9" ht="18" x14ac:dyDescent="0.4">
      <c r="A1" s="85" t="s">
        <v>4</v>
      </c>
      <c r="F1" s="87">
        <f>'Financial Assumptions'!H17</f>
        <v>2.2404430743163832E-2</v>
      </c>
      <c r="G1" s="87"/>
    </row>
    <row r="2" spans="1:9" ht="13" x14ac:dyDescent="0.3">
      <c r="A2" s="86" t="s">
        <v>31</v>
      </c>
      <c r="F2" s="87">
        <f>'Financial Assumptions'!H20</f>
        <v>1.5376191403689487E-2</v>
      </c>
    </row>
    <row r="3" spans="1:9" ht="13" x14ac:dyDescent="0.3">
      <c r="A3" s="86"/>
      <c r="H3" s="87"/>
    </row>
    <row r="4" spans="1:9" ht="13" x14ac:dyDescent="0.3">
      <c r="A4" s="86" t="s">
        <v>784</v>
      </c>
      <c r="E4" s="86" t="s">
        <v>783</v>
      </c>
      <c r="H4" s="87"/>
    </row>
    <row r="5" spans="1:9" ht="13" x14ac:dyDescent="0.3">
      <c r="A5" s="77" t="s">
        <v>5</v>
      </c>
      <c r="B5" s="77" t="s">
        <v>2</v>
      </c>
      <c r="C5" s="84"/>
      <c r="D5" s="64"/>
      <c r="E5" s="77" t="s">
        <v>5</v>
      </c>
      <c r="F5" s="77" t="s">
        <v>2</v>
      </c>
      <c r="I5" s="88"/>
    </row>
    <row r="6" spans="1:9" x14ac:dyDescent="0.25">
      <c r="A6" s="95">
        <v>2008</v>
      </c>
      <c r="B6" s="96">
        <v>1</v>
      </c>
      <c r="C6" s="97"/>
      <c r="D6" s="97"/>
      <c r="E6" s="95">
        <v>2008</v>
      </c>
      <c r="F6" s="96">
        <v>1</v>
      </c>
      <c r="I6" s="88"/>
    </row>
    <row r="7" spans="1:9" x14ac:dyDescent="0.25">
      <c r="A7" s="95">
        <v>2009</v>
      </c>
      <c r="B7" s="96">
        <v>1</v>
      </c>
      <c r="C7" s="98"/>
      <c r="D7" s="97"/>
      <c r="E7" s="95">
        <v>2009</v>
      </c>
      <c r="F7" s="96">
        <v>1</v>
      </c>
      <c r="I7" s="88"/>
    </row>
    <row r="8" spans="1:9" x14ac:dyDescent="0.25">
      <c r="A8" s="95">
        <v>2010</v>
      </c>
      <c r="B8" s="96">
        <v>1</v>
      </c>
      <c r="C8" s="98"/>
      <c r="D8" s="97"/>
      <c r="E8" s="95">
        <v>2010</v>
      </c>
      <c r="F8" s="96">
        <v>1</v>
      </c>
      <c r="I8" s="88"/>
    </row>
    <row r="9" spans="1:9" x14ac:dyDescent="0.25">
      <c r="A9" s="95">
        <v>2011</v>
      </c>
      <c r="B9" s="96">
        <v>1</v>
      </c>
      <c r="C9" s="98"/>
      <c r="D9" s="97"/>
      <c r="E9" s="95">
        <v>2011</v>
      </c>
      <c r="F9" s="96">
        <v>1</v>
      </c>
      <c r="I9" s="88"/>
    </row>
    <row r="10" spans="1:9" x14ac:dyDescent="0.25">
      <c r="A10" s="95">
        <v>2012</v>
      </c>
      <c r="B10" s="96">
        <v>1</v>
      </c>
      <c r="C10" s="98"/>
      <c r="D10" s="97"/>
      <c r="E10" s="95">
        <v>2012</v>
      </c>
      <c r="F10" s="96">
        <v>1</v>
      </c>
      <c r="I10" s="88"/>
    </row>
    <row r="11" spans="1:9" x14ac:dyDescent="0.25">
      <c r="A11" s="95">
        <v>2013</v>
      </c>
      <c r="B11" s="96">
        <v>1</v>
      </c>
      <c r="C11" s="98"/>
      <c r="D11" s="97"/>
      <c r="E11" s="95">
        <v>2013</v>
      </c>
      <c r="F11" s="96">
        <v>1</v>
      </c>
      <c r="I11" s="88"/>
    </row>
    <row r="12" spans="1:9" x14ac:dyDescent="0.25">
      <c r="A12" s="95">
        <v>2014</v>
      </c>
      <c r="B12" s="96">
        <v>1</v>
      </c>
      <c r="C12" s="98"/>
      <c r="D12" s="97"/>
      <c r="E12" s="95">
        <v>2014</v>
      </c>
      <c r="F12" s="96">
        <v>1</v>
      </c>
    </row>
    <row r="13" spans="1:9" x14ac:dyDescent="0.25">
      <c r="A13" s="95">
        <v>2015</v>
      </c>
      <c r="B13" s="96">
        <v>1</v>
      </c>
      <c r="C13" s="98"/>
      <c r="D13" s="97"/>
      <c r="E13" s="95">
        <v>2015</v>
      </c>
      <c r="F13" s="96">
        <v>1</v>
      </c>
    </row>
    <row r="14" spans="1:9" x14ac:dyDescent="0.25">
      <c r="A14" s="95">
        <v>2016</v>
      </c>
      <c r="B14" s="96">
        <v>1</v>
      </c>
      <c r="C14" s="98"/>
      <c r="D14" s="97"/>
      <c r="E14" s="95">
        <v>2016</v>
      </c>
      <c r="F14" s="96">
        <v>1</v>
      </c>
    </row>
    <row r="15" spans="1:9" x14ac:dyDescent="0.25">
      <c r="A15" s="95">
        <v>2017</v>
      </c>
      <c r="B15" s="96">
        <v>1</v>
      </c>
      <c r="C15" s="99"/>
      <c r="D15" s="95"/>
      <c r="E15" s="95">
        <v>2017</v>
      </c>
      <c r="F15" s="96">
        <v>1</v>
      </c>
    </row>
    <row r="16" spans="1:9" x14ac:dyDescent="0.25">
      <c r="A16" s="95">
        <v>2018</v>
      </c>
      <c r="B16" s="96">
        <v>1</v>
      </c>
      <c r="C16" s="99"/>
      <c r="D16" s="95"/>
      <c r="E16" s="95">
        <v>2018</v>
      </c>
      <c r="F16" s="96">
        <v>1</v>
      </c>
    </row>
    <row r="17" spans="1:8" x14ac:dyDescent="0.25">
      <c r="A17" s="5">
        <v>2019</v>
      </c>
      <c r="B17" s="80">
        <v>1</v>
      </c>
      <c r="C17" s="83"/>
      <c r="D17" s="80"/>
      <c r="E17" s="5">
        <v>2019</v>
      </c>
      <c r="F17" s="80">
        <v>1</v>
      </c>
    </row>
    <row r="18" spans="1:8" x14ac:dyDescent="0.25">
      <c r="A18" s="5">
        <v>2020</v>
      </c>
      <c r="B18" s="80">
        <f>$B$17*(1+$F$1)^(A18-2019)</f>
        <v>1.0224044307431639</v>
      </c>
      <c r="C18" s="5" t="s">
        <v>823</v>
      </c>
      <c r="D18" s="80">
        <f>AVERAGE(B14:B18)</f>
        <v>1.0044808861486327</v>
      </c>
      <c r="E18" s="5">
        <v>2020</v>
      </c>
      <c r="F18" s="80">
        <v>1.0149999999999999</v>
      </c>
      <c r="H18" s="80"/>
    </row>
    <row r="19" spans="1:8" x14ac:dyDescent="0.25">
      <c r="A19" s="5">
        <v>2021</v>
      </c>
      <c r="B19" s="80">
        <f t="shared" ref="B19:B44" si="0">$B$17*(1+$F$1)^(A19-2019)</f>
        <v>1.045310820003253</v>
      </c>
      <c r="E19" s="5">
        <v>2021</v>
      </c>
      <c r="F19" s="80">
        <f t="shared" ref="F19:F44" si="1">$F$17*(1+$F$2)^(E19-2019)</f>
        <v>1.0309888100694617</v>
      </c>
    </row>
    <row r="20" spans="1:8" x14ac:dyDescent="0.25">
      <c r="A20" s="5">
        <v>2022</v>
      </c>
      <c r="B20" s="80">
        <f t="shared" si="0"/>
        <v>1.0687304138750957</v>
      </c>
      <c r="C20" s="5" t="s">
        <v>309</v>
      </c>
      <c r="D20" s="80">
        <f>AVERAGE(B19:B23)</f>
        <v>1.0932112214252097</v>
      </c>
      <c r="E20" s="5">
        <v>2022</v>
      </c>
      <c r="F20" s="80">
        <f t="shared" si="1"/>
        <v>1.0468414913481519</v>
      </c>
      <c r="H20" s="80"/>
    </row>
    <row r="21" spans="1:8" x14ac:dyDescent="0.25">
      <c r="A21" s="5">
        <v>2023</v>
      </c>
      <c r="B21" s="80">
        <f t="shared" si="0"/>
        <v>1.0926747104158732</v>
      </c>
      <c r="E21" s="5">
        <v>2023</v>
      </c>
      <c r="F21" s="80">
        <f t="shared" si="1"/>
        <v>1.0629379264884447</v>
      </c>
    </row>
    <row r="22" spans="1:8" x14ac:dyDescent="0.25">
      <c r="A22" s="5">
        <v>2024</v>
      </c>
      <c r="B22" s="80">
        <f t="shared" si="0"/>
        <v>1.1171554652901923</v>
      </c>
      <c r="C22" s="5" t="s">
        <v>310</v>
      </c>
      <c r="D22" s="80">
        <f>AVERAGE(B24:B28)</f>
        <v>1.2212868907317393</v>
      </c>
      <c r="E22" s="5">
        <v>2024</v>
      </c>
      <c r="F22" s="80">
        <f>$F$17*(1+$F$2)^(E22-2019)</f>
        <v>1.0792818634963717</v>
      </c>
      <c r="H22" s="80"/>
    </row>
    <row r="23" spans="1:8" x14ac:dyDescent="0.25">
      <c r="A23" s="5">
        <v>2025</v>
      </c>
      <c r="B23" s="80">
        <f t="shared" si="0"/>
        <v>1.1421846975416334</v>
      </c>
      <c r="E23" s="5">
        <v>2025</v>
      </c>
      <c r="F23" s="80">
        <f t="shared" si="1"/>
        <v>1.0958771080080225</v>
      </c>
    </row>
    <row r="24" spans="1:8" x14ac:dyDescent="0.25">
      <c r="A24" s="5">
        <v>2026</v>
      </c>
      <c r="B24" s="80">
        <f t="shared" si="0"/>
        <v>1.1677746954936066</v>
      </c>
      <c r="C24" s="5" t="s">
        <v>311</v>
      </c>
      <c r="D24" s="80">
        <f>AVERAGE(B29:B33)</f>
        <v>1.3643673246682286</v>
      </c>
      <c r="E24" s="5">
        <v>2026</v>
      </c>
      <c r="F24" s="80">
        <f>$F$17*(1+$F$2)^(E24-2019)</f>
        <v>1.1127275241756756</v>
      </c>
      <c r="H24" s="80"/>
    </row>
    <row r="25" spans="1:8" x14ac:dyDescent="0.25">
      <c r="A25" s="5">
        <v>2027</v>
      </c>
      <c r="B25" s="80">
        <f t="shared" si="0"/>
        <v>1.1939380227824123</v>
      </c>
      <c r="E25" s="5">
        <v>2027</v>
      </c>
      <c r="F25" s="80">
        <f t="shared" si="1"/>
        <v>1.1298370355675542</v>
      </c>
    </row>
    <row r="26" spans="1:8" x14ac:dyDescent="0.25">
      <c r="A26" s="5">
        <v>2028</v>
      </c>
      <c r="B26" s="80">
        <f t="shared" si="0"/>
        <v>1.2206875245254709</v>
      </c>
      <c r="C26" s="5" t="s">
        <v>312</v>
      </c>
      <c r="D26" s="80">
        <f>AVERAGE(B34:B38)</f>
        <v>1.5242104134164698</v>
      </c>
      <c r="E26" s="5">
        <v>2028</v>
      </c>
      <c r="F26" s="80">
        <f t="shared" si="1"/>
        <v>1.147209626081418</v>
      </c>
      <c r="H26" s="80"/>
    </row>
    <row r="27" spans="1:8" x14ac:dyDescent="0.25">
      <c r="A27" s="5">
        <v>2029</v>
      </c>
      <c r="B27" s="80">
        <f t="shared" si="0"/>
        <v>1.248036333627746</v>
      </c>
      <c r="C27" s="83"/>
      <c r="E27" s="5">
        <v>2029</v>
      </c>
      <c r="F27" s="80">
        <f t="shared" si="1"/>
        <v>1.1648493408722009</v>
      </c>
      <c r="G27" s="83"/>
    </row>
    <row r="28" spans="1:8" x14ac:dyDescent="0.25">
      <c r="A28" s="5">
        <v>2030</v>
      </c>
      <c r="B28" s="80">
        <f t="shared" si="0"/>
        <v>1.2759978772294609</v>
      </c>
      <c r="C28" s="86" t="s">
        <v>583</v>
      </c>
      <c r="D28" s="80">
        <f>AVERAGE(B39:B43)</f>
        <v>1.7027799936004324</v>
      </c>
      <c r="E28" s="5">
        <v>2030</v>
      </c>
      <c r="F28" s="80">
        <f t="shared" si="1"/>
        <v>1.1827602872939134</v>
      </c>
      <c r="G28" s="86"/>
      <c r="H28" s="80"/>
    </row>
    <row r="29" spans="1:8" x14ac:dyDescent="0.25">
      <c r="A29" s="5">
        <v>2031</v>
      </c>
      <c r="B29" s="80">
        <f t="shared" si="0"/>
        <v>1.3045858832982726</v>
      </c>
      <c r="C29" s="83"/>
      <c r="E29" s="5">
        <v>2031</v>
      </c>
      <c r="F29" s="80">
        <f t="shared" si="1"/>
        <v>1.2009466358560272</v>
      </c>
    </row>
    <row r="30" spans="1:8" x14ac:dyDescent="0.25">
      <c r="A30" s="5">
        <v>2032</v>
      </c>
      <c r="B30" s="80">
        <f t="shared" si="0"/>
        <v>1.3338143873691382</v>
      </c>
      <c r="E30" s="5">
        <v>2032</v>
      </c>
      <c r="F30" s="80">
        <f t="shared" si="1"/>
        <v>1.2194126211945662</v>
      </c>
    </row>
    <row r="31" spans="1:8" x14ac:dyDescent="0.25">
      <c r="A31" s="5">
        <v>2033</v>
      </c>
      <c r="B31" s="80">
        <f t="shared" si="0"/>
        <v>1.3636977394351855</v>
      </c>
      <c r="E31" s="5">
        <v>2033</v>
      </c>
      <c r="F31" s="80">
        <f t="shared" si="1"/>
        <v>1.2381625430581287</v>
      </c>
    </row>
    <row r="32" spans="1:8" x14ac:dyDescent="0.25">
      <c r="A32" s="5">
        <v>2034</v>
      </c>
      <c r="B32" s="80">
        <f t="shared" si="0"/>
        <v>1.3942506109929702</v>
      </c>
      <c r="E32" s="5">
        <v>2034</v>
      </c>
      <c r="F32" s="80">
        <f t="shared" si="1"/>
        <v>1.2572007673090693</v>
      </c>
    </row>
    <row r="33" spans="1:6" x14ac:dyDescent="0.25">
      <c r="A33" s="5">
        <v>2035</v>
      </c>
      <c r="B33" s="80">
        <f t="shared" si="0"/>
        <v>1.4254880022455763</v>
      </c>
      <c r="E33" s="5">
        <v>2035</v>
      </c>
      <c r="F33" s="80">
        <f t="shared" si="1"/>
        <v>1.2765317269400787</v>
      </c>
    </row>
    <row r="34" spans="1:6" x14ac:dyDescent="0.25">
      <c r="A34" s="5">
        <v>2036</v>
      </c>
      <c r="B34" s="80">
        <f t="shared" si="0"/>
        <v>1.4574252494670983</v>
      </c>
      <c r="E34" s="5">
        <v>2036</v>
      </c>
      <c r="F34" s="80">
        <f t="shared" si="1"/>
        <v>1.2961599231063914</v>
      </c>
    </row>
    <row r="35" spans="1:6" x14ac:dyDescent="0.25">
      <c r="A35" s="5">
        <v>2037</v>
      </c>
      <c r="B35" s="80">
        <f t="shared" si="0"/>
        <v>1.4900780325321223</v>
      </c>
      <c r="E35" s="5">
        <v>2037</v>
      </c>
      <c r="F35" s="80">
        <f t="shared" si="1"/>
        <v>1.3160899261738668</v>
      </c>
    </row>
    <row r="36" spans="1:6" x14ac:dyDescent="0.25">
      <c r="A36" s="5">
        <v>2038</v>
      </c>
      <c r="B36" s="80">
        <f t="shared" si="0"/>
        <v>1.523462382613898</v>
      </c>
      <c r="E36" s="5">
        <v>2038</v>
      </c>
      <c r="F36" s="80">
        <f t="shared" si="1"/>
        <v>1.3363263767831837</v>
      </c>
    </row>
    <row r="37" spans="1:6" x14ac:dyDescent="0.25">
      <c r="A37" s="5">
        <v>2039</v>
      </c>
      <c r="B37" s="80">
        <f t="shared" si="0"/>
        <v>1.5575946900549866</v>
      </c>
      <c r="E37" s="5">
        <v>2039</v>
      </c>
      <c r="F37" s="80">
        <f t="shared" si="1"/>
        <v>1.3568739869304007</v>
      </c>
    </row>
    <row r="38" spans="1:6" x14ac:dyDescent="0.25">
      <c r="A38" s="5">
        <v>2040</v>
      </c>
      <c r="B38" s="80">
        <f t="shared" si="0"/>
        <v>1.5924917124142435</v>
      </c>
      <c r="E38" s="5">
        <v>2040</v>
      </c>
      <c r="F38" s="80">
        <f t="shared" si="1"/>
        <v>1.3777375410641295</v>
      </c>
    </row>
    <row r="39" spans="1:6" x14ac:dyDescent="0.25">
      <c r="A39" s="5">
        <v>2041</v>
      </c>
      <c r="B39" s="80">
        <f t="shared" si="0"/>
        <v>1.6281705826940909</v>
      </c>
      <c r="E39" s="5">
        <v>2041</v>
      </c>
      <c r="F39" s="80">
        <f t="shared" si="1"/>
        <v>1.39892189719958</v>
      </c>
    </row>
    <row r="40" spans="1:6" x14ac:dyDescent="0.25">
      <c r="A40" s="5">
        <v>2042</v>
      </c>
      <c r="B40" s="80">
        <f t="shared" si="0"/>
        <v>1.6646488177521175</v>
      </c>
      <c r="E40" s="5">
        <v>2042</v>
      </c>
      <c r="F40" s="80">
        <f t="shared" si="1"/>
        <v>1.4204319880497331</v>
      </c>
    </row>
    <row r="41" spans="1:6" x14ac:dyDescent="0.25">
      <c r="A41" s="5">
        <v>2043</v>
      </c>
      <c r="B41" s="80">
        <f t="shared" si="0"/>
        <v>1.7019443269011343</v>
      </c>
      <c r="E41" s="5">
        <v>2043</v>
      </c>
      <c r="F41" s="80">
        <f t="shared" si="1"/>
        <v>1.442272822173909</v>
      </c>
    </row>
    <row r="42" spans="1:6" x14ac:dyDescent="0.25">
      <c r="A42" s="5">
        <v>2044</v>
      </c>
      <c r="B42" s="80">
        <f t="shared" si="0"/>
        <v>1.7400754207019113</v>
      </c>
      <c r="E42" s="5">
        <v>2044</v>
      </c>
      <c r="F42" s="80">
        <f t="shared" si="1"/>
        <v>1.4644494851439944</v>
      </c>
    </row>
    <row r="43" spans="1:6" x14ac:dyDescent="0.25">
      <c r="A43" s="5">
        <v>2045</v>
      </c>
      <c r="B43" s="80">
        <f t="shared" si="0"/>
        <v>1.7790608199529092</v>
      </c>
      <c r="E43" s="5">
        <v>2045</v>
      </c>
      <c r="F43" s="80">
        <f t="shared" si="1"/>
        <v>1.4869671407286029</v>
      </c>
    </row>
    <row r="44" spans="1:6" x14ac:dyDescent="0.25">
      <c r="A44" s="5">
        <v>2046</v>
      </c>
      <c r="B44" s="80">
        <f t="shared" si="0"/>
        <v>1.8189196648814203</v>
      </c>
      <c r="E44" s="5">
        <v>2046</v>
      </c>
      <c r="F44" s="80">
        <f t="shared" si="1"/>
        <v>1.5098310320954429</v>
      </c>
    </row>
  </sheetData>
  <phoneticPr fontId="10"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pageSetUpPr fitToPage="1"/>
  </sheetPr>
  <dimension ref="B2:L138"/>
  <sheetViews>
    <sheetView topLeftCell="A4" workbookViewId="0">
      <selection activeCell="I13" sqref="I13"/>
    </sheetView>
  </sheetViews>
  <sheetFormatPr defaultColWidth="8.7265625" defaultRowHeight="14.5" x14ac:dyDescent="0.35"/>
  <cols>
    <col min="1" max="1" width="8.7265625" style="112"/>
    <col min="2" max="2" width="12" style="112" customWidth="1"/>
    <col min="3" max="3" width="10.54296875" style="112" customWidth="1"/>
    <col min="4" max="10" width="8.7265625" style="112"/>
    <col min="11" max="11" width="14" style="112" bestFit="1" customWidth="1"/>
    <col min="12" max="12" width="6" style="112" bestFit="1" customWidth="1"/>
    <col min="13" max="16384" width="8.7265625" style="112"/>
  </cols>
  <sheetData>
    <row r="2" spans="2:12" x14ac:dyDescent="0.35">
      <c r="B2" s="112" t="s">
        <v>166</v>
      </c>
    </row>
    <row r="5" spans="2:12" x14ac:dyDescent="0.35">
      <c r="B5" s="112" t="s">
        <v>165</v>
      </c>
    </row>
    <row r="6" spans="2:12" x14ac:dyDescent="0.35">
      <c r="B6" s="112" t="s">
        <v>164</v>
      </c>
    </row>
    <row r="8" spans="2:12" x14ac:dyDescent="0.35">
      <c r="B8" s="112" t="s">
        <v>163</v>
      </c>
      <c r="C8" s="112" t="s">
        <v>159</v>
      </c>
      <c r="D8" s="112" t="s">
        <v>158</v>
      </c>
      <c r="F8" s="115" t="s">
        <v>168</v>
      </c>
    </row>
    <row r="9" spans="2:12" x14ac:dyDescent="0.35">
      <c r="B9" s="112" t="s">
        <v>162</v>
      </c>
      <c r="C9" s="114">
        <v>39934</v>
      </c>
      <c r="D9" s="112">
        <v>0.28000000000000003</v>
      </c>
      <c r="F9" s="115" t="s">
        <v>167</v>
      </c>
    </row>
    <row r="10" spans="2:12" x14ac:dyDescent="0.35">
      <c r="B10" s="112" t="s">
        <v>161</v>
      </c>
      <c r="C10" s="114">
        <v>39722</v>
      </c>
      <c r="D10" s="112">
        <v>2.6</v>
      </c>
    </row>
    <row r="11" spans="2:12" x14ac:dyDescent="0.35">
      <c r="B11" s="112" t="s">
        <v>24</v>
      </c>
      <c r="C11" s="112" t="s">
        <v>160</v>
      </c>
      <c r="D11" s="112">
        <v>1.02</v>
      </c>
    </row>
    <row r="13" spans="2:12" x14ac:dyDescent="0.35">
      <c r="B13" s="112" t="s">
        <v>159</v>
      </c>
      <c r="C13" s="134" t="s">
        <v>27</v>
      </c>
      <c r="E13" s="112" t="s">
        <v>159</v>
      </c>
      <c r="F13" s="134" t="s">
        <v>27</v>
      </c>
    </row>
    <row r="14" spans="2:12" x14ac:dyDescent="0.35">
      <c r="B14" s="112" t="s">
        <v>157</v>
      </c>
      <c r="C14" s="112">
        <v>1.75</v>
      </c>
      <c r="E14" s="112" t="s">
        <v>121</v>
      </c>
      <c r="F14" s="112">
        <v>0.73</v>
      </c>
      <c r="H14" s="112" t="s">
        <v>85</v>
      </c>
      <c r="I14" s="112">
        <v>1.1599999999999999</v>
      </c>
      <c r="K14" s="112" t="s">
        <v>49</v>
      </c>
      <c r="L14" s="112">
        <v>0.3</v>
      </c>
    </row>
    <row r="15" spans="2:12" x14ac:dyDescent="0.35">
      <c r="B15" s="112" t="s">
        <v>156</v>
      </c>
      <c r="C15" s="112">
        <v>1.77</v>
      </c>
      <c r="E15" s="112" t="s">
        <v>120</v>
      </c>
      <c r="F15" s="112">
        <v>0.67</v>
      </c>
      <c r="H15" s="112" t="s">
        <v>84</v>
      </c>
      <c r="I15" s="112">
        <v>1.1599999999999999</v>
      </c>
      <c r="K15" s="112" t="s">
        <v>48</v>
      </c>
      <c r="L15" s="112">
        <v>0.28999999999999998</v>
      </c>
    </row>
    <row r="16" spans="2:12" x14ac:dyDescent="0.35">
      <c r="B16" s="112" t="s">
        <v>155</v>
      </c>
      <c r="C16" s="112">
        <v>1.77</v>
      </c>
      <c r="E16" s="112" t="s">
        <v>119</v>
      </c>
      <c r="F16" s="112">
        <v>0.66</v>
      </c>
      <c r="H16" s="112" t="s">
        <v>83</v>
      </c>
      <c r="I16" s="112">
        <v>1.1499999999999999</v>
      </c>
      <c r="K16" s="112" t="s">
        <v>47</v>
      </c>
      <c r="L16" s="112">
        <v>0.28999999999999998</v>
      </c>
    </row>
    <row r="17" spans="2:12" x14ac:dyDescent="0.35">
      <c r="B17" s="112" t="s">
        <v>154</v>
      </c>
      <c r="C17" s="112">
        <v>1.56</v>
      </c>
      <c r="E17" s="112" t="s">
        <v>118</v>
      </c>
      <c r="F17" s="112">
        <v>0.91</v>
      </c>
      <c r="H17" s="112" t="s">
        <v>82</v>
      </c>
      <c r="I17" s="112">
        <v>1.1399999999999999</v>
      </c>
      <c r="K17" s="112" t="s">
        <v>46</v>
      </c>
      <c r="L17" s="112">
        <v>0.3</v>
      </c>
    </row>
    <row r="18" spans="2:12" x14ac:dyDescent="0.35">
      <c r="B18" s="112" t="s">
        <v>153</v>
      </c>
      <c r="C18" s="112">
        <v>1.59</v>
      </c>
      <c r="E18" s="112" t="s">
        <v>117</v>
      </c>
      <c r="F18" s="112">
        <v>0.91</v>
      </c>
      <c r="H18" s="112" t="s">
        <v>81</v>
      </c>
      <c r="I18" s="112">
        <v>1.17</v>
      </c>
      <c r="K18" s="112" t="s">
        <v>45</v>
      </c>
      <c r="L18" s="112">
        <v>0.28000000000000003</v>
      </c>
    </row>
    <row r="19" spans="2:12" x14ac:dyDescent="0.35">
      <c r="B19" s="112" t="s">
        <v>152</v>
      </c>
      <c r="C19" s="112">
        <v>1.57</v>
      </c>
      <c r="E19" s="112" t="s">
        <v>116</v>
      </c>
      <c r="F19" s="112">
        <v>0.9</v>
      </c>
      <c r="H19" s="112" t="s">
        <v>80</v>
      </c>
      <c r="I19" s="112">
        <v>1.17</v>
      </c>
      <c r="K19" s="112" t="s">
        <v>44</v>
      </c>
      <c r="L19" s="112">
        <v>0.28999999999999998</v>
      </c>
    </row>
    <row r="20" spans="2:12" x14ac:dyDescent="0.35">
      <c r="B20" s="112" t="s">
        <v>151</v>
      </c>
      <c r="C20" s="112">
        <v>1.57</v>
      </c>
      <c r="E20" s="112" t="s">
        <v>115</v>
      </c>
      <c r="F20" s="112">
        <v>0.89</v>
      </c>
      <c r="H20" s="112" t="s">
        <v>79</v>
      </c>
      <c r="I20" s="112">
        <v>1.1200000000000001</v>
      </c>
      <c r="K20" s="112" t="s">
        <v>43</v>
      </c>
      <c r="L20" s="112">
        <v>0.53</v>
      </c>
    </row>
    <row r="21" spans="2:12" x14ac:dyDescent="0.35">
      <c r="B21" s="112" t="s">
        <v>150</v>
      </c>
      <c r="C21" s="112">
        <v>1.51</v>
      </c>
      <c r="E21" s="112" t="s">
        <v>114</v>
      </c>
      <c r="F21" s="112">
        <v>0.84</v>
      </c>
      <c r="H21" s="112" t="s">
        <v>78</v>
      </c>
      <c r="I21" s="112">
        <v>1.1200000000000001</v>
      </c>
      <c r="K21" s="112" t="s">
        <v>42</v>
      </c>
      <c r="L21" s="112">
        <v>0.78</v>
      </c>
    </row>
    <row r="22" spans="2:12" x14ac:dyDescent="0.35">
      <c r="B22" s="112" t="s">
        <v>149</v>
      </c>
      <c r="C22" s="112">
        <v>1.52</v>
      </c>
      <c r="E22" s="112" t="s">
        <v>113</v>
      </c>
      <c r="F22" s="112">
        <v>0.93</v>
      </c>
      <c r="H22" s="112" t="s">
        <v>77</v>
      </c>
      <c r="I22" s="112">
        <v>1.1200000000000001</v>
      </c>
      <c r="K22" s="112" t="s">
        <v>41</v>
      </c>
      <c r="L22" s="112">
        <v>1.03</v>
      </c>
    </row>
    <row r="23" spans="2:12" x14ac:dyDescent="0.35">
      <c r="B23" s="112" t="s">
        <v>148</v>
      </c>
      <c r="C23" s="112">
        <v>1.36</v>
      </c>
      <c r="E23" s="112" t="s">
        <v>112</v>
      </c>
      <c r="F23" s="112">
        <v>1.25</v>
      </c>
      <c r="H23" s="112" t="s">
        <v>76</v>
      </c>
      <c r="I23" s="112">
        <v>1.1200000000000001</v>
      </c>
      <c r="K23" s="112" t="s">
        <v>40</v>
      </c>
      <c r="L23" s="112">
        <v>1.5</v>
      </c>
    </row>
    <row r="24" spans="2:12" x14ac:dyDescent="0.35">
      <c r="B24" s="112" t="s">
        <v>147</v>
      </c>
      <c r="C24" s="112">
        <v>1.25</v>
      </c>
      <c r="E24" s="112" t="s">
        <v>111</v>
      </c>
      <c r="F24" s="112">
        <v>1.23</v>
      </c>
      <c r="H24" s="112" t="s">
        <v>75</v>
      </c>
      <c r="I24" s="112">
        <v>1.1000000000000001</v>
      </c>
      <c r="K24" s="112" t="s">
        <v>39</v>
      </c>
      <c r="L24" s="112">
        <v>2.23</v>
      </c>
    </row>
    <row r="25" spans="2:12" x14ac:dyDescent="0.35">
      <c r="B25" s="112" t="s">
        <v>146</v>
      </c>
      <c r="C25" s="112">
        <v>1.25</v>
      </c>
      <c r="E25" s="112" t="s">
        <v>110</v>
      </c>
      <c r="F25" s="112">
        <v>1.22</v>
      </c>
      <c r="H25" s="112" t="s">
        <v>74</v>
      </c>
      <c r="I25" s="112">
        <v>1.1100000000000001</v>
      </c>
      <c r="K25" s="112" t="s">
        <v>38</v>
      </c>
      <c r="L25" s="112">
        <v>2.6</v>
      </c>
    </row>
    <row r="26" spans="2:12" x14ac:dyDescent="0.35">
      <c r="B26" s="112" t="s">
        <v>145</v>
      </c>
      <c r="C26" s="112">
        <v>1.23</v>
      </c>
      <c r="E26" s="112" t="s">
        <v>109</v>
      </c>
      <c r="F26" s="112">
        <v>1.19</v>
      </c>
      <c r="H26" s="112" t="s">
        <v>73</v>
      </c>
      <c r="I26" s="112">
        <v>1.1200000000000001</v>
      </c>
    </row>
    <row r="27" spans="2:12" x14ac:dyDescent="0.35">
      <c r="B27" s="112" t="s">
        <v>144</v>
      </c>
      <c r="C27" s="112">
        <v>1.17</v>
      </c>
      <c r="E27" s="112" t="s">
        <v>108</v>
      </c>
      <c r="F27" s="112">
        <v>1.2</v>
      </c>
      <c r="H27" s="112" t="s">
        <v>72</v>
      </c>
      <c r="I27" s="112">
        <v>1.1200000000000001</v>
      </c>
      <c r="K27" s="112" t="s">
        <v>37</v>
      </c>
      <c r="L27" s="113">
        <f>+AVERAGE(C14:C49,F14:F49,I14:I49,L14:L25)/100</f>
        <v>1.0170833333333341E-2</v>
      </c>
    </row>
    <row r="28" spans="2:12" x14ac:dyDescent="0.35">
      <c r="B28" s="112" t="s">
        <v>143</v>
      </c>
      <c r="C28" s="112">
        <v>1.1299999999999999</v>
      </c>
      <c r="E28" s="112" t="s">
        <v>107</v>
      </c>
      <c r="F28" s="112">
        <v>1.2</v>
      </c>
      <c r="H28" s="112" t="s">
        <v>71</v>
      </c>
      <c r="I28" s="112">
        <v>1.1200000000000001</v>
      </c>
    </row>
    <row r="29" spans="2:12" x14ac:dyDescent="0.35">
      <c r="B29" s="112" t="s">
        <v>142</v>
      </c>
      <c r="C29" s="112">
        <v>0.89</v>
      </c>
      <c r="E29" s="112" t="s">
        <v>106</v>
      </c>
      <c r="F29" s="112">
        <v>1.19</v>
      </c>
      <c r="H29" s="112" t="s">
        <v>70</v>
      </c>
      <c r="I29" s="112">
        <v>1.1299999999999999</v>
      </c>
    </row>
    <row r="30" spans="2:12" x14ac:dyDescent="0.35">
      <c r="B30" s="112" t="s">
        <v>141</v>
      </c>
      <c r="C30" s="112">
        <v>0.75</v>
      </c>
      <c r="E30" s="112" t="s">
        <v>105</v>
      </c>
      <c r="F30" s="112">
        <v>1.18</v>
      </c>
      <c r="H30" s="112" t="s">
        <v>69</v>
      </c>
      <c r="I30" s="112">
        <v>1.1200000000000001</v>
      </c>
    </row>
    <row r="31" spans="2:12" x14ac:dyDescent="0.35">
      <c r="B31" s="112" t="s">
        <v>140</v>
      </c>
      <c r="C31" s="112">
        <v>0.83</v>
      </c>
      <c r="E31" s="112" t="s">
        <v>104</v>
      </c>
      <c r="F31" s="112">
        <v>1.19</v>
      </c>
      <c r="H31" s="112" t="s">
        <v>68</v>
      </c>
      <c r="I31" s="112">
        <v>1.1200000000000001</v>
      </c>
    </row>
    <row r="32" spans="2:12" x14ac:dyDescent="0.35">
      <c r="B32" s="112" t="s">
        <v>139</v>
      </c>
      <c r="C32" s="112">
        <v>0.83</v>
      </c>
      <c r="E32" s="112" t="s">
        <v>103</v>
      </c>
      <c r="F32" s="112">
        <v>1.1599999999999999</v>
      </c>
      <c r="H32" s="112" t="s">
        <v>67</v>
      </c>
      <c r="I32" s="112">
        <v>1.1200000000000001</v>
      </c>
    </row>
    <row r="33" spans="2:9" x14ac:dyDescent="0.35">
      <c r="B33" s="112" t="s">
        <v>138</v>
      </c>
      <c r="C33" s="112">
        <v>0.86</v>
      </c>
      <c r="E33" s="112" t="s">
        <v>102</v>
      </c>
      <c r="F33" s="112">
        <v>1.17</v>
      </c>
      <c r="H33" s="112" t="s">
        <v>66</v>
      </c>
      <c r="I33" s="112">
        <v>1.1200000000000001</v>
      </c>
    </row>
    <row r="34" spans="2:9" x14ac:dyDescent="0.35">
      <c r="B34" s="112" t="s">
        <v>137</v>
      </c>
      <c r="C34" s="112">
        <v>0.89</v>
      </c>
      <c r="E34" s="112" t="s">
        <v>101</v>
      </c>
      <c r="F34" s="112">
        <v>1.1499999999999999</v>
      </c>
      <c r="H34" s="112" t="s">
        <v>65</v>
      </c>
      <c r="I34" s="112">
        <v>1.1200000000000001</v>
      </c>
    </row>
    <row r="35" spans="2:9" x14ac:dyDescent="0.35">
      <c r="B35" s="112" t="s">
        <v>136</v>
      </c>
      <c r="C35" s="112">
        <v>0.89</v>
      </c>
      <c r="E35" s="112" t="s">
        <v>100</v>
      </c>
      <c r="F35" s="112">
        <v>1.1599999999999999</v>
      </c>
      <c r="H35" s="112" t="s">
        <v>64</v>
      </c>
      <c r="I35" s="112">
        <v>1.1200000000000001</v>
      </c>
    </row>
    <row r="36" spans="2:9" x14ac:dyDescent="0.35">
      <c r="B36" s="112" t="s">
        <v>135</v>
      </c>
      <c r="C36" s="112">
        <v>0.8</v>
      </c>
      <c r="E36" s="112" t="s">
        <v>99</v>
      </c>
      <c r="F36" s="112">
        <v>1.1599999999999999</v>
      </c>
      <c r="H36" s="112" t="s">
        <v>63</v>
      </c>
      <c r="I36" s="112">
        <v>1.0900000000000001</v>
      </c>
    </row>
    <row r="37" spans="2:9" x14ac:dyDescent="0.35">
      <c r="B37" s="112" t="s">
        <v>134</v>
      </c>
      <c r="C37" s="112">
        <v>0.81</v>
      </c>
      <c r="E37" s="112" t="s">
        <v>98</v>
      </c>
      <c r="F37" s="112">
        <v>1.1499999999999999</v>
      </c>
      <c r="H37" s="112" t="s">
        <v>62</v>
      </c>
      <c r="I37" s="112">
        <v>1.0900000000000001</v>
      </c>
    </row>
    <row r="38" spans="2:9" x14ac:dyDescent="0.35">
      <c r="B38" s="112" t="s">
        <v>133</v>
      </c>
      <c r="C38" s="112">
        <v>0.8</v>
      </c>
      <c r="E38" s="112" t="s">
        <v>97</v>
      </c>
      <c r="F38" s="112">
        <v>1.1599999999999999</v>
      </c>
      <c r="H38" s="112" t="s">
        <v>61</v>
      </c>
      <c r="I38" s="112">
        <v>1.0900000000000001</v>
      </c>
    </row>
    <row r="39" spans="2:9" x14ac:dyDescent="0.35">
      <c r="B39" s="112" t="s">
        <v>132</v>
      </c>
      <c r="C39" s="112">
        <v>0.81</v>
      </c>
      <c r="E39" s="112" t="s">
        <v>96</v>
      </c>
      <c r="F39" s="112">
        <v>1.1599999999999999</v>
      </c>
      <c r="H39" s="112" t="s">
        <v>60</v>
      </c>
      <c r="I39" s="112">
        <v>0.84</v>
      </c>
    </row>
    <row r="40" spans="2:9" x14ac:dyDescent="0.35">
      <c r="B40" s="112" t="s">
        <v>131</v>
      </c>
      <c r="C40" s="112">
        <v>0.83</v>
      </c>
      <c r="E40" s="112" t="s">
        <v>95</v>
      </c>
      <c r="F40" s="112">
        <v>1.1599999999999999</v>
      </c>
      <c r="H40" s="112" t="s">
        <v>59</v>
      </c>
      <c r="I40" s="112">
        <v>0.83</v>
      </c>
    </row>
    <row r="41" spans="2:9" x14ac:dyDescent="0.35">
      <c r="B41" s="112" t="s">
        <v>130</v>
      </c>
      <c r="C41" s="112">
        <v>0.8</v>
      </c>
      <c r="E41" s="112" t="s">
        <v>94</v>
      </c>
      <c r="F41" s="112">
        <v>1.17</v>
      </c>
      <c r="H41" s="112" t="s">
        <v>58</v>
      </c>
      <c r="I41" s="112">
        <v>0.57999999999999996</v>
      </c>
    </row>
    <row r="42" spans="2:9" x14ac:dyDescent="0.35">
      <c r="B42" s="112" t="s">
        <v>129</v>
      </c>
      <c r="C42" s="112">
        <v>0.84</v>
      </c>
      <c r="E42" s="112" t="s">
        <v>93</v>
      </c>
      <c r="F42" s="112">
        <v>1.1499999999999999</v>
      </c>
      <c r="H42" s="112" t="s">
        <v>57</v>
      </c>
      <c r="I42" s="112">
        <v>0.42</v>
      </c>
    </row>
    <row r="43" spans="2:9" x14ac:dyDescent="0.35">
      <c r="B43" s="112" t="s">
        <v>128</v>
      </c>
      <c r="C43" s="112">
        <v>0.9</v>
      </c>
      <c r="E43" s="112" t="s">
        <v>92</v>
      </c>
      <c r="F43" s="112">
        <v>1.1499999999999999</v>
      </c>
      <c r="H43" s="112" t="s">
        <v>56</v>
      </c>
      <c r="I43" s="112">
        <v>0.41</v>
      </c>
    </row>
    <row r="44" spans="2:9" x14ac:dyDescent="0.35">
      <c r="B44" s="112" t="s">
        <v>127</v>
      </c>
      <c r="C44" s="112">
        <v>0.85</v>
      </c>
      <c r="E44" s="112" t="s">
        <v>91</v>
      </c>
      <c r="F44" s="112">
        <v>1.17</v>
      </c>
      <c r="H44" s="112" t="s">
        <v>55</v>
      </c>
      <c r="I44" s="112">
        <v>0.39</v>
      </c>
    </row>
    <row r="45" spans="2:9" x14ac:dyDescent="0.35">
      <c r="B45" s="112" t="s">
        <v>126</v>
      </c>
      <c r="C45" s="112">
        <v>0.8</v>
      </c>
      <c r="E45" s="112" t="s">
        <v>90</v>
      </c>
      <c r="F45" s="112">
        <v>1.1499999999999999</v>
      </c>
      <c r="H45" s="112" t="s">
        <v>54</v>
      </c>
      <c r="I45" s="112">
        <v>0.28999999999999998</v>
      </c>
    </row>
    <row r="46" spans="2:9" x14ac:dyDescent="0.35">
      <c r="B46" s="112" t="s">
        <v>125</v>
      </c>
      <c r="C46" s="112">
        <v>0.81</v>
      </c>
      <c r="E46" s="112" t="s">
        <v>89</v>
      </c>
      <c r="F46" s="112">
        <v>1.1499999999999999</v>
      </c>
      <c r="H46" s="112" t="s">
        <v>53</v>
      </c>
      <c r="I46" s="112">
        <v>0.28999999999999998</v>
      </c>
    </row>
    <row r="47" spans="2:9" x14ac:dyDescent="0.35">
      <c r="B47" s="112" t="s">
        <v>124</v>
      </c>
      <c r="C47" s="112">
        <v>0.85</v>
      </c>
      <c r="E47" s="112" t="s">
        <v>88</v>
      </c>
      <c r="F47" s="112">
        <v>1.17</v>
      </c>
      <c r="H47" s="112" t="s">
        <v>52</v>
      </c>
      <c r="I47" s="112">
        <v>0.31</v>
      </c>
    </row>
    <row r="48" spans="2:9" x14ac:dyDescent="0.35">
      <c r="B48" s="112" t="s">
        <v>123</v>
      </c>
      <c r="C48" s="112">
        <v>0.78</v>
      </c>
      <c r="E48" s="112" t="s">
        <v>87</v>
      </c>
      <c r="F48" s="112">
        <v>1.1599999999999999</v>
      </c>
      <c r="H48" s="112" t="s">
        <v>51</v>
      </c>
      <c r="I48" s="112">
        <v>0.3</v>
      </c>
    </row>
    <row r="49" spans="2:9" x14ac:dyDescent="0.35">
      <c r="B49" s="112" t="s">
        <v>122</v>
      </c>
      <c r="C49" s="112">
        <v>0.8</v>
      </c>
      <c r="E49" s="112" t="s">
        <v>86</v>
      </c>
      <c r="F49" s="112">
        <v>1.1399999999999999</v>
      </c>
      <c r="H49" s="112" t="s">
        <v>50</v>
      </c>
      <c r="I49" s="112">
        <v>0.3</v>
      </c>
    </row>
    <row r="138" spans="2:3" x14ac:dyDescent="0.35">
      <c r="B138" s="112" t="s">
        <v>36</v>
      </c>
      <c r="C138" s="113">
        <f>+AVERAGE(C23:C94)/100</f>
        <v>9.1888888888888905E-3</v>
      </c>
    </row>
  </sheetData>
  <hyperlinks>
    <hyperlink ref="F9" display="https://www.bankofcanada.ca/rates/interest-rates/canadian-interest-rates/?lookupPage=lookup_canadian_interest.php&amp;startRange=2008-10-22&amp;rangeType=dates&amp;dFrom=2008-10-22&amp;dTo=2018-10-19&amp;rangeValue=1&amp;rangeWeeklyValue=1&amp;rangeMonthlyValue=1&amp;ByDate_frequency=da" xr:uid="{00000000-0004-0000-0F00-000000000000}"/>
    <hyperlink ref="F8" r:id="rId1" xr:uid="{00000000-0004-0000-0F00-000001000000}"/>
  </hyperlinks>
  <pageMargins left="0.7" right="0.7" top="0.75" bottom="0.75" header="0.3" footer="0.3"/>
  <pageSetup scale="47"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B4:I142"/>
  <sheetViews>
    <sheetView workbookViewId="0">
      <selection activeCell="F139" sqref="F139"/>
    </sheetView>
  </sheetViews>
  <sheetFormatPr defaultColWidth="8.7265625" defaultRowHeight="14.5" x14ac:dyDescent="0.35"/>
  <cols>
    <col min="1" max="1" width="8.7265625" style="112"/>
    <col min="2" max="2" width="17.54296875" style="112" customWidth="1"/>
    <col min="3" max="3" width="20.81640625" style="112" customWidth="1"/>
    <col min="4" max="16384" width="8.7265625" style="112"/>
  </cols>
  <sheetData>
    <row r="4" spans="2:9" x14ac:dyDescent="0.35">
      <c r="I4" s="115" t="s">
        <v>173</v>
      </c>
    </row>
    <row r="5" spans="2:9" x14ac:dyDescent="0.35">
      <c r="I5" s="115" t="s">
        <v>172</v>
      </c>
    </row>
    <row r="6" spans="2:9" x14ac:dyDescent="0.35">
      <c r="B6" s="112" t="s">
        <v>171</v>
      </c>
    </row>
    <row r="9" spans="2:9" x14ac:dyDescent="0.35">
      <c r="B9" s="112" t="s">
        <v>165</v>
      </c>
    </row>
    <row r="10" spans="2:9" x14ac:dyDescent="0.35">
      <c r="B10" s="112" t="s">
        <v>170</v>
      </c>
    </row>
    <row r="12" spans="2:9" x14ac:dyDescent="0.35">
      <c r="B12" s="112" t="s">
        <v>163</v>
      </c>
      <c r="C12" s="112" t="s">
        <v>159</v>
      </c>
      <c r="D12" s="112" t="s">
        <v>169</v>
      </c>
    </row>
    <row r="13" spans="2:9" x14ac:dyDescent="0.35">
      <c r="B13" s="112" t="s">
        <v>162</v>
      </c>
      <c r="C13" s="114">
        <v>42614</v>
      </c>
      <c r="D13" s="112">
        <v>0.98</v>
      </c>
    </row>
    <row r="14" spans="2:9" x14ac:dyDescent="0.35">
      <c r="B14" s="112" t="s">
        <v>161</v>
      </c>
      <c r="C14" s="114">
        <v>39722</v>
      </c>
      <c r="D14" s="112">
        <v>3.74</v>
      </c>
    </row>
    <row r="15" spans="2:9" x14ac:dyDescent="0.35">
      <c r="B15" s="112" t="s">
        <v>24</v>
      </c>
      <c r="C15" s="112" t="s">
        <v>160</v>
      </c>
      <c r="D15" s="112">
        <v>2.2599999999999998</v>
      </c>
    </row>
    <row r="17" spans="2:3" x14ac:dyDescent="0.35">
      <c r="B17" s="112" t="s">
        <v>159</v>
      </c>
      <c r="C17" s="112" t="s">
        <v>169</v>
      </c>
    </row>
    <row r="18" spans="2:3" x14ac:dyDescent="0.35">
      <c r="B18" s="112" t="s">
        <v>157</v>
      </c>
      <c r="C18" s="112">
        <v>2.42</v>
      </c>
    </row>
    <row r="19" spans="2:3" x14ac:dyDescent="0.35">
      <c r="B19" s="112" t="s">
        <v>156</v>
      </c>
      <c r="C19" s="112">
        <v>2.3199999999999998</v>
      </c>
    </row>
    <row r="20" spans="2:3" x14ac:dyDescent="0.35">
      <c r="B20" s="112" t="s">
        <v>155</v>
      </c>
      <c r="C20" s="112">
        <v>2.2799999999999998</v>
      </c>
    </row>
    <row r="21" spans="2:3" x14ac:dyDescent="0.35">
      <c r="B21" s="112" t="s">
        <v>154</v>
      </c>
      <c r="C21" s="112">
        <v>2.06</v>
      </c>
    </row>
    <row r="22" spans="2:3" x14ac:dyDescent="0.35">
      <c r="B22" s="112" t="s">
        <v>153</v>
      </c>
      <c r="C22" s="112">
        <v>2.25</v>
      </c>
    </row>
    <row r="23" spans="2:3" x14ac:dyDescent="0.35">
      <c r="B23" s="112" t="s">
        <v>152</v>
      </c>
      <c r="C23" s="112">
        <v>2.37</v>
      </c>
    </row>
    <row r="24" spans="2:3" x14ac:dyDescent="0.35">
      <c r="B24" s="112" t="s">
        <v>151</v>
      </c>
      <c r="C24" s="112">
        <v>2.11</v>
      </c>
    </row>
    <row r="25" spans="2:3" x14ac:dyDescent="0.35">
      <c r="B25" s="112" t="s">
        <v>150</v>
      </c>
      <c r="C25" s="112">
        <v>2.23</v>
      </c>
    </row>
    <row r="26" spans="2:3" x14ac:dyDescent="0.35">
      <c r="B26" s="112" t="s">
        <v>149</v>
      </c>
      <c r="C26" s="112">
        <v>2.29</v>
      </c>
    </row>
    <row r="27" spans="2:3" x14ac:dyDescent="0.35">
      <c r="B27" s="112" t="s">
        <v>148</v>
      </c>
      <c r="C27" s="112">
        <v>1.98</v>
      </c>
    </row>
    <row r="28" spans="2:3" x14ac:dyDescent="0.35">
      <c r="B28" s="112" t="s">
        <v>147</v>
      </c>
      <c r="C28" s="112">
        <v>1.88</v>
      </c>
    </row>
    <row r="29" spans="2:3" x14ac:dyDescent="0.35">
      <c r="B29" s="112" t="s">
        <v>146</v>
      </c>
      <c r="C29" s="112">
        <v>2.04</v>
      </c>
    </row>
    <row r="30" spans="2:3" x14ac:dyDescent="0.35">
      <c r="B30" s="112" t="s">
        <v>145</v>
      </c>
      <c r="C30" s="112">
        <v>2.13</v>
      </c>
    </row>
    <row r="31" spans="2:3" x14ac:dyDescent="0.35">
      <c r="B31" s="112" t="s">
        <v>144</v>
      </c>
      <c r="C31" s="112">
        <v>1.84</v>
      </c>
    </row>
    <row r="32" spans="2:3" x14ac:dyDescent="0.35">
      <c r="B32" s="112" t="s">
        <v>143</v>
      </c>
      <c r="C32" s="112">
        <v>1.96</v>
      </c>
    </row>
    <row r="33" spans="2:3" x14ac:dyDescent="0.35">
      <c r="B33" s="112" t="s">
        <v>142</v>
      </c>
      <c r="C33" s="112">
        <v>1.61</v>
      </c>
    </row>
    <row r="34" spans="2:3" x14ac:dyDescent="0.35">
      <c r="B34" s="112" t="s">
        <v>141</v>
      </c>
      <c r="C34" s="112">
        <v>1.41</v>
      </c>
    </row>
    <row r="35" spans="2:3" x14ac:dyDescent="0.35">
      <c r="B35" s="112" t="s">
        <v>140</v>
      </c>
      <c r="C35" s="112">
        <v>1.48</v>
      </c>
    </row>
    <row r="36" spans="2:3" x14ac:dyDescent="0.35">
      <c r="B36" s="112" t="s">
        <v>139</v>
      </c>
      <c r="C36" s="112">
        <v>1.59</v>
      </c>
    </row>
    <row r="37" spans="2:3" x14ac:dyDescent="0.35">
      <c r="B37" s="112" t="s">
        <v>138</v>
      </c>
      <c r="C37" s="112">
        <v>1.71</v>
      </c>
    </row>
    <row r="38" spans="2:3" x14ac:dyDescent="0.35">
      <c r="B38" s="112" t="s">
        <v>137</v>
      </c>
      <c r="C38" s="112">
        <v>1.82</v>
      </c>
    </row>
    <row r="39" spans="2:3" x14ac:dyDescent="0.35">
      <c r="B39" s="112" t="s">
        <v>136</v>
      </c>
      <c r="C39" s="112">
        <v>1.73</v>
      </c>
    </row>
    <row r="40" spans="2:3" x14ac:dyDescent="0.35">
      <c r="B40" s="112" t="s">
        <v>135</v>
      </c>
      <c r="C40" s="112">
        <v>1.58</v>
      </c>
    </row>
    <row r="41" spans="2:3" x14ac:dyDescent="0.35">
      <c r="B41" s="112" t="s">
        <v>134</v>
      </c>
      <c r="C41" s="112">
        <v>1.1499999999999999</v>
      </c>
    </row>
    <row r="42" spans="2:3" x14ac:dyDescent="0.35">
      <c r="B42" s="112" t="s">
        <v>133</v>
      </c>
      <c r="C42" s="112">
        <v>0.98</v>
      </c>
    </row>
    <row r="43" spans="2:3" x14ac:dyDescent="0.35">
      <c r="B43" s="112" t="s">
        <v>132</v>
      </c>
      <c r="C43" s="112">
        <v>1.02</v>
      </c>
    </row>
    <row r="44" spans="2:3" x14ac:dyDescent="0.35">
      <c r="B44" s="112" t="s">
        <v>131</v>
      </c>
      <c r="C44" s="112">
        <v>1.07</v>
      </c>
    </row>
    <row r="45" spans="2:3" x14ac:dyDescent="0.35">
      <c r="B45" s="112" t="s">
        <v>130</v>
      </c>
      <c r="C45" s="112">
        <v>1.1200000000000001</v>
      </c>
    </row>
    <row r="46" spans="2:3" x14ac:dyDescent="0.35">
      <c r="B46" s="112" t="s">
        <v>129</v>
      </c>
      <c r="C46" s="112">
        <v>1.38</v>
      </c>
    </row>
    <row r="47" spans="2:3" x14ac:dyDescent="0.35">
      <c r="B47" s="112" t="s">
        <v>128</v>
      </c>
      <c r="C47" s="112">
        <v>1.5</v>
      </c>
    </row>
    <row r="48" spans="2:3" x14ac:dyDescent="0.35">
      <c r="B48" s="112" t="s">
        <v>127</v>
      </c>
      <c r="C48" s="112">
        <v>1.22</v>
      </c>
    </row>
    <row r="49" spans="2:3" x14ac:dyDescent="0.35">
      <c r="B49" s="112" t="s">
        <v>126</v>
      </c>
      <c r="C49" s="112">
        <v>1.1499999999999999</v>
      </c>
    </row>
    <row r="50" spans="2:3" x14ac:dyDescent="0.35">
      <c r="B50" s="112" t="s">
        <v>125</v>
      </c>
      <c r="C50" s="112">
        <v>1.24</v>
      </c>
    </row>
    <row r="51" spans="2:3" x14ac:dyDescent="0.35">
      <c r="B51" s="112" t="s">
        <v>124</v>
      </c>
      <c r="C51" s="112">
        <v>1.4</v>
      </c>
    </row>
    <row r="52" spans="2:3" x14ac:dyDescent="0.35">
      <c r="B52" s="112" t="s">
        <v>123</v>
      </c>
      <c r="C52" s="112">
        <v>1.59</v>
      </c>
    </row>
    <row r="53" spans="2:3" x14ac:dyDescent="0.35">
      <c r="B53" s="112" t="s">
        <v>122</v>
      </c>
      <c r="C53" s="112">
        <v>1.47</v>
      </c>
    </row>
    <row r="54" spans="2:3" x14ac:dyDescent="0.35">
      <c r="B54" s="112" t="s">
        <v>121</v>
      </c>
      <c r="C54" s="112">
        <v>1.45</v>
      </c>
    </row>
    <row r="55" spans="2:3" x14ac:dyDescent="0.35">
      <c r="B55" s="112" t="s">
        <v>120</v>
      </c>
      <c r="C55" s="112">
        <v>1.45</v>
      </c>
    </row>
    <row r="56" spans="2:3" x14ac:dyDescent="0.35">
      <c r="B56" s="112" t="s">
        <v>119</v>
      </c>
      <c r="C56" s="112">
        <v>1.52</v>
      </c>
    </row>
    <row r="57" spans="2:3" x14ac:dyDescent="0.35">
      <c r="B57" s="112" t="s">
        <v>118</v>
      </c>
      <c r="C57" s="112">
        <v>1.77</v>
      </c>
    </row>
    <row r="58" spans="2:3" x14ac:dyDescent="0.35">
      <c r="B58" s="112" t="s">
        <v>117</v>
      </c>
      <c r="C58" s="112">
        <v>1.67</v>
      </c>
    </row>
    <row r="59" spans="2:3" x14ac:dyDescent="0.35">
      <c r="B59" s="112" t="s">
        <v>116</v>
      </c>
      <c r="C59" s="112">
        <v>1.59</v>
      </c>
    </row>
    <row r="60" spans="2:3" x14ac:dyDescent="0.35">
      <c r="B60" s="112" t="s">
        <v>115</v>
      </c>
      <c r="C60" s="112">
        <v>1.33</v>
      </c>
    </row>
    <row r="61" spans="2:3" x14ac:dyDescent="0.35">
      <c r="B61" s="112" t="s">
        <v>114</v>
      </c>
      <c r="C61" s="112">
        <v>1.32</v>
      </c>
    </row>
    <row r="62" spans="2:3" x14ac:dyDescent="0.35">
      <c r="B62" s="112" t="s">
        <v>113</v>
      </c>
      <c r="C62" s="112">
        <v>1.35</v>
      </c>
    </row>
    <row r="63" spans="2:3" x14ac:dyDescent="0.35">
      <c r="B63" s="112" t="s">
        <v>112</v>
      </c>
      <c r="C63" s="112">
        <v>1.79</v>
      </c>
    </row>
    <row r="64" spans="2:3" x14ac:dyDescent="0.35">
      <c r="B64" s="112" t="s">
        <v>111</v>
      </c>
      <c r="C64" s="112">
        <v>1.93</v>
      </c>
    </row>
    <row r="65" spans="2:3" x14ac:dyDescent="0.35">
      <c r="B65" s="112" t="s">
        <v>110</v>
      </c>
      <c r="C65" s="112">
        <v>2.0499999999999998</v>
      </c>
    </row>
    <row r="66" spans="2:3" x14ac:dyDescent="0.35">
      <c r="B66" s="112" t="s">
        <v>109</v>
      </c>
      <c r="C66" s="112">
        <v>2.2000000000000002</v>
      </c>
    </row>
    <row r="67" spans="2:3" x14ac:dyDescent="0.35">
      <c r="B67" s="112" t="s">
        <v>108</v>
      </c>
      <c r="C67" s="112">
        <v>2</v>
      </c>
    </row>
    <row r="68" spans="2:3" x14ac:dyDescent="0.35">
      <c r="B68" s="112" t="s">
        <v>107</v>
      </c>
      <c r="C68" s="112">
        <v>2.16</v>
      </c>
    </row>
    <row r="69" spans="2:3" x14ac:dyDescent="0.35">
      <c r="B69" s="112" t="s">
        <v>106</v>
      </c>
      <c r="C69" s="112">
        <v>2.2599999999999998</v>
      </c>
    </row>
    <row r="70" spans="2:3" x14ac:dyDescent="0.35">
      <c r="B70" s="112" t="s">
        <v>105</v>
      </c>
      <c r="C70" s="112">
        <v>2.2200000000000002</v>
      </c>
    </row>
    <row r="71" spans="2:3" x14ac:dyDescent="0.35">
      <c r="B71" s="112" t="s">
        <v>104</v>
      </c>
      <c r="C71" s="112">
        <v>2.4</v>
      </c>
    </row>
    <row r="72" spans="2:3" x14ac:dyDescent="0.35">
      <c r="B72" s="112" t="s">
        <v>103</v>
      </c>
      <c r="C72" s="112">
        <v>2.4500000000000002</v>
      </c>
    </row>
    <row r="73" spans="2:3" x14ac:dyDescent="0.35">
      <c r="B73" s="112" t="s">
        <v>102</v>
      </c>
      <c r="C73" s="112">
        <v>2.44</v>
      </c>
    </row>
    <row r="74" spans="2:3" x14ac:dyDescent="0.35">
      <c r="B74" s="112" t="s">
        <v>101</v>
      </c>
      <c r="C74" s="112">
        <v>2.36</v>
      </c>
    </row>
    <row r="75" spans="2:3" x14ac:dyDescent="0.35">
      <c r="B75" s="112" t="s">
        <v>100</v>
      </c>
      <c r="C75" s="112">
        <v>2.72</v>
      </c>
    </row>
    <row r="76" spans="2:3" x14ac:dyDescent="0.35">
      <c r="B76" s="112" t="s">
        <v>99</v>
      </c>
      <c r="C76" s="112">
        <v>2.54</v>
      </c>
    </row>
    <row r="77" spans="2:3" x14ac:dyDescent="0.35">
      <c r="B77" s="112" t="s">
        <v>98</v>
      </c>
      <c r="C77" s="112">
        <v>2.42</v>
      </c>
    </row>
    <row r="78" spans="2:3" x14ac:dyDescent="0.35">
      <c r="B78" s="112" t="s">
        <v>97</v>
      </c>
      <c r="C78" s="112">
        <v>2.57</v>
      </c>
    </row>
    <row r="79" spans="2:3" x14ac:dyDescent="0.35">
      <c r="B79" s="112" t="s">
        <v>96</v>
      </c>
      <c r="C79" s="112">
        <v>2.63</v>
      </c>
    </row>
    <row r="80" spans="2:3" x14ac:dyDescent="0.35">
      <c r="B80" s="112" t="s">
        <v>95</v>
      </c>
      <c r="C80" s="112">
        <v>2.4500000000000002</v>
      </c>
    </row>
    <row r="81" spans="2:3" x14ac:dyDescent="0.35">
      <c r="B81" s="112" t="s">
        <v>94</v>
      </c>
      <c r="C81" s="112">
        <v>2.5</v>
      </c>
    </row>
    <row r="82" spans="2:3" x14ac:dyDescent="0.35">
      <c r="B82" s="112" t="s">
        <v>93</v>
      </c>
      <c r="C82" s="112">
        <v>2.0699999999999998</v>
      </c>
    </row>
    <row r="83" spans="2:3" x14ac:dyDescent="0.35">
      <c r="B83" s="112" t="s">
        <v>92</v>
      </c>
      <c r="C83" s="112">
        <v>1.72</v>
      </c>
    </row>
    <row r="84" spans="2:3" x14ac:dyDescent="0.35">
      <c r="B84" s="112" t="s">
        <v>91</v>
      </c>
      <c r="C84" s="112">
        <v>1.76</v>
      </c>
    </row>
    <row r="85" spans="2:3" x14ac:dyDescent="0.35">
      <c r="B85" s="112" t="s">
        <v>90</v>
      </c>
      <c r="C85" s="112">
        <v>1.86</v>
      </c>
    </row>
    <row r="86" spans="2:3" x14ac:dyDescent="0.35">
      <c r="B86" s="112" t="s">
        <v>89</v>
      </c>
      <c r="C86" s="112">
        <v>1.99</v>
      </c>
    </row>
    <row r="87" spans="2:3" x14ac:dyDescent="0.35">
      <c r="B87" s="112" t="s">
        <v>88</v>
      </c>
      <c r="C87" s="112">
        <v>1.82</v>
      </c>
    </row>
    <row r="88" spans="2:3" x14ac:dyDescent="0.35">
      <c r="B88" s="112" t="s">
        <v>87</v>
      </c>
      <c r="C88" s="112">
        <v>1.72</v>
      </c>
    </row>
    <row r="89" spans="2:3" x14ac:dyDescent="0.35">
      <c r="B89" s="112" t="s">
        <v>86</v>
      </c>
      <c r="C89" s="112">
        <v>1.78</v>
      </c>
    </row>
    <row r="90" spans="2:3" x14ac:dyDescent="0.35">
      <c r="B90" s="112" t="s">
        <v>85</v>
      </c>
      <c r="C90" s="112">
        <v>1.75</v>
      </c>
    </row>
    <row r="91" spans="2:3" x14ac:dyDescent="0.35">
      <c r="B91" s="112" t="s">
        <v>84</v>
      </c>
      <c r="C91" s="112">
        <v>1.8</v>
      </c>
    </row>
    <row r="92" spans="2:3" x14ac:dyDescent="0.35">
      <c r="B92" s="112" t="s">
        <v>83</v>
      </c>
      <c r="C92" s="112">
        <v>1.6</v>
      </c>
    </row>
    <row r="93" spans="2:3" x14ac:dyDescent="0.35">
      <c r="B93" s="112" t="s">
        <v>82</v>
      </c>
      <c r="C93" s="112">
        <v>1.72</v>
      </c>
    </row>
    <row r="94" spans="2:3" x14ac:dyDescent="0.35">
      <c r="B94" s="112" t="s">
        <v>81</v>
      </c>
      <c r="C94" s="112">
        <v>1.79</v>
      </c>
    </row>
    <row r="95" spans="2:3" x14ac:dyDescent="0.35">
      <c r="B95" s="112" t="s">
        <v>80</v>
      </c>
      <c r="C95" s="112">
        <v>2.1</v>
      </c>
    </row>
    <row r="96" spans="2:3" x14ac:dyDescent="0.35">
      <c r="B96" s="112" t="s">
        <v>79</v>
      </c>
      <c r="C96" s="112">
        <v>2.12</v>
      </c>
    </row>
    <row r="97" spans="2:3" x14ac:dyDescent="0.35">
      <c r="B97" s="112" t="s">
        <v>78</v>
      </c>
      <c r="C97" s="112">
        <v>1.98</v>
      </c>
    </row>
    <row r="98" spans="2:3" x14ac:dyDescent="0.35">
      <c r="B98" s="112" t="s">
        <v>77</v>
      </c>
      <c r="C98" s="112">
        <v>2.04</v>
      </c>
    </row>
    <row r="99" spans="2:3" x14ac:dyDescent="0.35">
      <c r="B99" s="112" t="s">
        <v>76</v>
      </c>
      <c r="C99" s="112">
        <v>1.96</v>
      </c>
    </row>
    <row r="100" spans="2:3" x14ac:dyDescent="0.35">
      <c r="B100" s="112" t="s">
        <v>75</v>
      </c>
      <c r="C100" s="112">
        <v>2.15</v>
      </c>
    </row>
    <row r="101" spans="2:3" x14ac:dyDescent="0.35">
      <c r="B101" s="112" t="s">
        <v>74</v>
      </c>
      <c r="C101" s="112">
        <v>2.38</v>
      </c>
    </row>
    <row r="102" spans="2:3" x14ac:dyDescent="0.35">
      <c r="B102" s="112" t="s">
        <v>73</v>
      </c>
      <c r="C102" s="112">
        <v>2.19</v>
      </c>
    </row>
    <row r="103" spans="2:3" x14ac:dyDescent="0.35">
      <c r="B103" s="112" t="s">
        <v>72</v>
      </c>
      <c r="C103" s="112">
        <v>2.4900000000000002</v>
      </c>
    </row>
    <row r="104" spans="2:3" x14ac:dyDescent="0.35">
      <c r="B104" s="112" t="s">
        <v>71</v>
      </c>
      <c r="C104" s="112">
        <v>2.88</v>
      </c>
    </row>
    <row r="105" spans="2:3" x14ac:dyDescent="0.35">
      <c r="B105" s="112" t="s">
        <v>70</v>
      </c>
      <c r="C105" s="112">
        <v>3.09</v>
      </c>
    </row>
    <row r="106" spans="2:3" x14ac:dyDescent="0.35">
      <c r="B106" s="112" t="s">
        <v>69</v>
      </c>
      <c r="C106" s="112">
        <v>3.08</v>
      </c>
    </row>
    <row r="107" spans="2:3" x14ac:dyDescent="0.35">
      <c r="B107" s="112" t="s">
        <v>68</v>
      </c>
      <c r="C107" s="112">
        <v>3.27</v>
      </c>
    </row>
    <row r="108" spans="2:3" x14ac:dyDescent="0.35">
      <c r="B108" s="112" t="s">
        <v>67</v>
      </c>
      <c r="C108" s="112">
        <v>3.29</v>
      </c>
    </row>
    <row r="109" spans="2:3" x14ac:dyDescent="0.35">
      <c r="B109" s="112" t="s">
        <v>66</v>
      </c>
      <c r="C109" s="112">
        <v>3.32</v>
      </c>
    </row>
    <row r="110" spans="2:3" x14ac:dyDescent="0.35">
      <c r="B110" s="112" t="s">
        <v>65</v>
      </c>
      <c r="C110" s="112">
        <v>3.31</v>
      </c>
    </row>
    <row r="111" spans="2:3" x14ac:dyDescent="0.35">
      <c r="B111" s="112" t="s">
        <v>64</v>
      </c>
      <c r="C111" s="112">
        <v>3.16</v>
      </c>
    </row>
    <row r="112" spans="2:3" x14ac:dyDescent="0.35">
      <c r="B112" s="112" t="s">
        <v>63</v>
      </c>
      <c r="C112" s="112">
        <v>3.19</v>
      </c>
    </row>
    <row r="113" spans="2:3" x14ac:dyDescent="0.35">
      <c r="B113" s="112" t="s">
        <v>62</v>
      </c>
      <c r="C113" s="112">
        <v>2.89</v>
      </c>
    </row>
    <row r="114" spans="2:3" x14ac:dyDescent="0.35">
      <c r="B114" s="112" t="s">
        <v>61</v>
      </c>
      <c r="C114" s="112">
        <v>2.74</v>
      </c>
    </row>
    <row r="115" spans="2:3" x14ac:dyDescent="0.35">
      <c r="B115" s="112" t="s">
        <v>60</v>
      </c>
      <c r="C115" s="112">
        <v>2.83</v>
      </c>
    </row>
    <row r="116" spans="2:3" x14ac:dyDescent="0.35">
      <c r="B116" s="112" t="s">
        <v>59</v>
      </c>
      <c r="C116" s="112">
        <v>3.22</v>
      </c>
    </row>
    <row r="117" spans="2:3" x14ac:dyDescent="0.35">
      <c r="B117" s="112" t="s">
        <v>58</v>
      </c>
      <c r="C117" s="112">
        <v>3.08</v>
      </c>
    </row>
    <row r="118" spans="2:3" x14ac:dyDescent="0.35">
      <c r="B118" s="112" t="s">
        <v>57</v>
      </c>
      <c r="C118" s="112">
        <v>3.25</v>
      </c>
    </row>
    <row r="119" spans="2:3" x14ac:dyDescent="0.35">
      <c r="B119" s="112" t="s">
        <v>56</v>
      </c>
      <c r="C119" s="112">
        <v>3.66</v>
      </c>
    </row>
    <row r="120" spans="2:3" x14ac:dyDescent="0.35">
      <c r="B120" s="112" t="s">
        <v>55</v>
      </c>
      <c r="C120" s="112">
        <v>3.56</v>
      </c>
    </row>
    <row r="121" spans="2:3" x14ac:dyDescent="0.35">
      <c r="B121" s="112" t="s">
        <v>54</v>
      </c>
      <c r="C121" s="112">
        <v>3.45</v>
      </c>
    </row>
    <row r="122" spans="2:3" x14ac:dyDescent="0.35">
      <c r="B122" s="112" t="s">
        <v>53</v>
      </c>
      <c r="C122" s="112">
        <v>3.35</v>
      </c>
    </row>
    <row r="123" spans="2:3" x14ac:dyDescent="0.35">
      <c r="B123" s="112" t="s">
        <v>52</v>
      </c>
      <c r="C123" s="112">
        <v>3.6</v>
      </c>
    </row>
    <row r="124" spans="2:3" x14ac:dyDescent="0.35">
      <c r="B124" s="112" t="s">
        <v>51</v>
      </c>
      <c r="C124" s="112">
        <v>3.25</v>
      </c>
    </row>
    <row r="125" spans="2:3" x14ac:dyDescent="0.35">
      <c r="B125" s="112" t="s">
        <v>50</v>
      </c>
      <c r="C125" s="112">
        <v>3.45</v>
      </c>
    </row>
    <row r="126" spans="2:3" x14ac:dyDescent="0.35">
      <c r="B126" s="112" t="s">
        <v>49</v>
      </c>
      <c r="C126" s="112">
        <v>3.31</v>
      </c>
    </row>
    <row r="127" spans="2:3" x14ac:dyDescent="0.35">
      <c r="B127" s="112" t="s">
        <v>48</v>
      </c>
      <c r="C127" s="112">
        <v>3.39</v>
      </c>
    </row>
    <row r="128" spans="2:3" x14ac:dyDescent="0.35">
      <c r="B128" s="112" t="s">
        <v>47</v>
      </c>
      <c r="C128" s="112">
        <v>3.53</v>
      </c>
    </row>
    <row r="129" spans="2:3" x14ac:dyDescent="0.35">
      <c r="B129" s="112" t="s">
        <v>46</v>
      </c>
      <c r="C129" s="112">
        <v>3.45</v>
      </c>
    </row>
    <row r="130" spans="2:3" x14ac:dyDescent="0.35">
      <c r="B130" s="112" t="s">
        <v>45</v>
      </c>
      <c r="C130" s="112">
        <v>3.57</v>
      </c>
    </row>
    <row r="131" spans="2:3" x14ac:dyDescent="0.35">
      <c r="B131" s="112" t="s">
        <v>44</v>
      </c>
      <c r="C131" s="112">
        <v>3.08</v>
      </c>
    </row>
    <row r="132" spans="2:3" x14ac:dyDescent="0.35">
      <c r="B132" s="112" t="s">
        <v>43</v>
      </c>
      <c r="C132" s="112">
        <v>2.96</v>
      </c>
    </row>
    <row r="133" spans="2:3" x14ac:dyDescent="0.35">
      <c r="B133" s="112" t="s">
        <v>42</v>
      </c>
      <c r="C133" s="112">
        <v>2.95</v>
      </c>
    </row>
    <row r="134" spans="2:3" x14ac:dyDescent="0.35">
      <c r="B134" s="112" t="s">
        <v>41</v>
      </c>
      <c r="C134" s="112">
        <v>2.97</v>
      </c>
    </row>
    <row r="135" spans="2:3" x14ac:dyDescent="0.35">
      <c r="B135" s="112" t="s">
        <v>40</v>
      </c>
      <c r="C135" s="112">
        <v>2.69</v>
      </c>
    </row>
    <row r="136" spans="2:3" x14ac:dyDescent="0.35">
      <c r="B136" s="112" t="s">
        <v>39</v>
      </c>
      <c r="C136" s="112">
        <v>3.36</v>
      </c>
    </row>
    <row r="137" spans="2:3" x14ac:dyDescent="0.35">
      <c r="B137" s="112" t="s">
        <v>38</v>
      </c>
      <c r="C137" s="112">
        <v>3.74</v>
      </c>
    </row>
    <row r="139" spans="2:3" x14ac:dyDescent="0.35">
      <c r="B139" s="112" t="s">
        <v>37</v>
      </c>
      <c r="C139" s="113">
        <f>+AVERAGE(C18:C138)/100</f>
        <v>2.2635833333333334E-2</v>
      </c>
    </row>
    <row r="142" spans="2:3" x14ac:dyDescent="0.35">
      <c r="B142" s="112" t="s">
        <v>36</v>
      </c>
      <c r="C142" s="113">
        <f>+AVERAGE(C27:C98)/100</f>
        <v>1.8084722222222224E-2</v>
      </c>
    </row>
  </sheetData>
  <hyperlinks>
    <hyperlink ref="I5" display="https://www.bankofcanada.ca/rates/interest-rates/lookup-bond-yields/?lookupPage=lookup_bond_yields.php&amp;startRange=2008-10-22&amp;rangeType=dates&amp;dFrom=2008-10-22&amp;dTo=2018-10-22&amp;rangeValue=1&amp;rangeWeeklyValue=1&amp;rangeMonthlyValue=1&amp;series%5B%5D=LOOKUPS_V122543&amp;s" xr:uid="{00000000-0004-0000-1000-000000000000}"/>
    <hyperlink ref="I4" r:id="rId1" xr:uid="{00000000-0004-0000-1000-000001000000}"/>
  </hyperlinks>
  <pageMargins left="0.7" right="0.7" top="0.75" bottom="0.75" header="0.3" footer="0.3"/>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sheetPr>
  <dimension ref="B4:K48"/>
  <sheetViews>
    <sheetView topLeftCell="A28" zoomScale="85" zoomScaleNormal="85" workbookViewId="0">
      <selection activeCell="C43" sqref="C43"/>
    </sheetView>
  </sheetViews>
  <sheetFormatPr defaultColWidth="8.7265625" defaultRowHeight="14.5" x14ac:dyDescent="0.35"/>
  <cols>
    <col min="1" max="1" width="8.7265625" style="112"/>
    <col min="2" max="2" width="11.26953125" style="112" customWidth="1"/>
    <col min="3" max="3" width="13.1796875" style="112" customWidth="1"/>
    <col min="4" max="5" width="12.54296875" style="112" customWidth="1"/>
    <col min="6" max="6" width="13.54296875" style="116" customWidth="1"/>
    <col min="7" max="7" width="8.7265625" style="112"/>
    <col min="8" max="8" width="10.453125" style="112" bestFit="1" customWidth="1"/>
    <col min="9" max="16384" width="8.7265625" style="112"/>
  </cols>
  <sheetData>
    <row r="4" spans="2:11" x14ac:dyDescent="0.35">
      <c r="B4" s="129" t="s">
        <v>211</v>
      </c>
      <c r="C4" s="128"/>
      <c r="D4" s="128"/>
      <c r="E4" s="128"/>
      <c r="F4" s="127"/>
      <c r="K4" s="115" t="s">
        <v>210</v>
      </c>
    </row>
    <row r="5" spans="2:11" ht="38.5" x14ac:dyDescent="0.35">
      <c r="B5" s="122" t="s">
        <v>5</v>
      </c>
      <c r="C5" s="126" t="s">
        <v>209</v>
      </c>
      <c r="D5" s="126" t="s">
        <v>208</v>
      </c>
      <c r="E5" s="125" t="s">
        <v>207</v>
      </c>
      <c r="F5" s="125" t="s">
        <v>206</v>
      </c>
    </row>
    <row r="6" spans="2:11" x14ac:dyDescent="0.35">
      <c r="B6" s="122" t="s">
        <v>205</v>
      </c>
      <c r="C6" s="121">
        <v>83.8</v>
      </c>
      <c r="D6" s="121">
        <v>95.2</v>
      </c>
      <c r="E6" s="124"/>
      <c r="F6" s="124"/>
    </row>
    <row r="7" spans="2:11" x14ac:dyDescent="0.35">
      <c r="B7" s="122" t="s">
        <v>204</v>
      </c>
      <c r="C7" s="121">
        <v>85.4</v>
      </c>
      <c r="D7" s="121">
        <v>95.6</v>
      </c>
      <c r="E7" s="124">
        <f t="shared" ref="E7:E28" si="0">+(C7-C6)/C6</f>
        <v>1.9093078758949982E-2</v>
      </c>
      <c r="F7" s="124">
        <f t="shared" ref="F7:F27" si="1">+(D7-D6)/D6</f>
        <v>4.201680672268818E-3</v>
      </c>
    </row>
    <row r="8" spans="2:11" x14ac:dyDescent="0.35">
      <c r="B8" s="122" t="s">
        <v>203</v>
      </c>
      <c r="C8" s="121">
        <v>87.3</v>
      </c>
      <c r="D8" s="121">
        <v>92.8</v>
      </c>
      <c r="E8" s="124">
        <f t="shared" si="0"/>
        <v>2.2248243559718869E-2</v>
      </c>
      <c r="F8" s="124">
        <f t="shared" si="1"/>
        <v>-2.9288702928870265E-2</v>
      </c>
    </row>
    <row r="9" spans="2:11" x14ac:dyDescent="0.35">
      <c r="B9" s="122" t="s">
        <v>202</v>
      </c>
      <c r="C9" s="121">
        <v>89</v>
      </c>
      <c r="D9" s="121">
        <v>94.5</v>
      </c>
      <c r="E9" s="123">
        <f t="shared" si="0"/>
        <v>1.9473081328751467E-2</v>
      </c>
      <c r="F9" s="123">
        <f t="shared" si="1"/>
        <v>1.8318965517241409E-2</v>
      </c>
    </row>
    <row r="10" spans="2:11" x14ac:dyDescent="0.35">
      <c r="B10" s="122" t="s">
        <v>201</v>
      </c>
      <c r="C10" s="121">
        <v>90.9</v>
      </c>
      <c r="D10" s="121">
        <v>95.9</v>
      </c>
      <c r="E10" s="123">
        <f t="shared" si="0"/>
        <v>2.1348314606741636E-2</v>
      </c>
      <c r="F10" s="123">
        <f t="shared" si="1"/>
        <v>1.4814814814814874E-2</v>
      </c>
    </row>
    <row r="11" spans="2:11" x14ac:dyDescent="0.35">
      <c r="B11" s="122" t="s">
        <v>200</v>
      </c>
      <c r="C11" s="121">
        <v>97.3</v>
      </c>
      <c r="D11" s="121">
        <v>98.3</v>
      </c>
      <c r="E11" s="123">
        <f t="shared" si="0"/>
        <v>7.0407040704070306E-2</v>
      </c>
      <c r="F11" s="123">
        <f t="shared" si="1"/>
        <v>2.502606882168917E-2</v>
      </c>
    </row>
    <row r="12" spans="2:11" x14ac:dyDescent="0.35">
      <c r="B12" s="122" t="s">
        <v>199</v>
      </c>
      <c r="C12" s="121">
        <v>98.5</v>
      </c>
      <c r="D12" s="121">
        <v>98.6</v>
      </c>
      <c r="E12" s="123">
        <f t="shared" si="0"/>
        <v>1.2332990750256966E-2</v>
      </c>
      <c r="F12" s="123">
        <f t="shared" si="1"/>
        <v>3.0518819938962073E-3</v>
      </c>
    </row>
    <row r="13" spans="2:11" x14ac:dyDescent="0.35">
      <c r="B13" s="122" t="s">
        <v>198</v>
      </c>
      <c r="C13" s="121">
        <v>100.9</v>
      </c>
      <c r="D13" s="121">
        <v>101</v>
      </c>
      <c r="E13" s="123">
        <f t="shared" si="0"/>
        <v>2.4365482233502597E-2</v>
      </c>
      <c r="F13" s="123">
        <f t="shared" si="1"/>
        <v>2.4340770791075109E-2</v>
      </c>
    </row>
    <row r="14" spans="2:11" x14ac:dyDescent="0.35">
      <c r="B14" s="122" t="s">
        <v>197</v>
      </c>
      <c r="C14" s="121">
        <v>103.9</v>
      </c>
      <c r="D14" s="121">
        <v>103.9</v>
      </c>
      <c r="E14" s="123">
        <f t="shared" si="0"/>
        <v>2.973240832507433E-2</v>
      </c>
      <c r="F14" s="123">
        <f t="shared" si="1"/>
        <v>2.871287128712877E-2</v>
      </c>
    </row>
    <row r="15" spans="2:11" x14ac:dyDescent="0.35">
      <c r="B15" s="122" t="s">
        <v>196</v>
      </c>
      <c r="C15" s="121">
        <v>112.8</v>
      </c>
      <c r="D15" s="121">
        <v>110.8</v>
      </c>
      <c r="E15" s="123">
        <f t="shared" si="0"/>
        <v>8.5659287776708282E-2</v>
      </c>
      <c r="F15" s="123">
        <f t="shared" si="1"/>
        <v>6.6410009624638985E-2</v>
      </c>
    </row>
    <row r="16" spans="2:11" x14ac:dyDescent="0.35">
      <c r="B16" s="122" t="s">
        <v>195</v>
      </c>
      <c r="C16" s="121">
        <v>118.5</v>
      </c>
      <c r="D16" s="121">
        <v>115.4</v>
      </c>
      <c r="E16" s="123">
        <f t="shared" si="0"/>
        <v>5.0531914893617046E-2</v>
      </c>
      <c r="F16" s="123">
        <f t="shared" si="1"/>
        <v>4.1516245487364697E-2</v>
      </c>
    </row>
    <row r="17" spans="2:6" x14ac:dyDescent="0.35">
      <c r="B17" s="122" t="s">
        <v>194</v>
      </c>
      <c r="C17" s="121">
        <v>129.5</v>
      </c>
      <c r="D17" s="121">
        <v>121.1</v>
      </c>
      <c r="E17" s="123">
        <f t="shared" si="0"/>
        <v>9.2827004219409287E-2</v>
      </c>
      <c r="F17" s="123">
        <f t="shared" si="1"/>
        <v>4.9393414211438377E-2</v>
      </c>
    </row>
    <row r="18" spans="2:6" x14ac:dyDescent="0.35">
      <c r="B18" s="122" t="s">
        <v>193</v>
      </c>
      <c r="C18" s="121">
        <v>140</v>
      </c>
      <c r="D18" s="121">
        <v>127.7</v>
      </c>
      <c r="E18" s="123">
        <f t="shared" si="0"/>
        <v>8.1081081081081086E-2</v>
      </c>
      <c r="F18" s="123">
        <f t="shared" si="1"/>
        <v>5.4500412881915844E-2</v>
      </c>
    </row>
    <row r="19" spans="2:6" x14ac:dyDescent="0.35">
      <c r="B19" s="122" t="s">
        <v>192</v>
      </c>
      <c r="C19" s="121">
        <v>151.5</v>
      </c>
      <c r="D19" s="121">
        <v>136.30000000000001</v>
      </c>
      <c r="E19" s="123">
        <f t="shared" si="0"/>
        <v>8.2142857142857142E-2</v>
      </c>
      <c r="F19" s="123">
        <f t="shared" si="1"/>
        <v>6.7345340642130061E-2</v>
      </c>
    </row>
    <row r="20" spans="2:6" x14ac:dyDescent="0.35">
      <c r="B20" s="122" t="s">
        <v>191</v>
      </c>
      <c r="C20" s="121">
        <v>140</v>
      </c>
      <c r="D20" s="121">
        <v>135.69999999999999</v>
      </c>
      <c r="E20" s="123">
        <f t="shared" si="0"/>
        <v>-7.590759075907591E-2</v>
      </c>
      <c r="F20" s="123">
        <f t="shared" si="1"/>
        <v>-4.4020542920031012E-3</v>
      </c>
    </row>
    <row r="21" spans="2:6" x14ac:dyDescent="0.35">
      <c r="B21" s="122" t="s">
        <v>190</v>
      </c>
      <c r="C21" s="121">
        <v>142.4</v>
      </c>
      <c r="D21" s="121">
        <v>137.9</v>
      </c>
      <c r="E21" s="123">
        <f t="shared" si="0"/>
        <v>1.7142857142857182E-2</v>
      </c>
      <c r="F21" s="123">
        <f t="shared" si="1"/>
        <v>1.6212232866617667E-2</v>
      </c>
    </row>
    <row r="22" spans="2:6" x14ac:dyDescent="0.35">
      <c r="B22" s="122" t="s">
        <v>189</v>
      </c>
      <c r="C22" s="121">
        <v>148.30000000000001</v>
      </c>
      <c r="D22" s="121">
        <v>141.69999999999999</v>
      </c>
      <c r="E22" s="123">
        <f t="shared" si="0"/>
        <v>4.143258426966296E-2</v>
      </c>
      <c r="F22" s="123">
        <f t="shared" si="1"/>
        <v>2.7556200145032506E-2</v>
      </c>
    </row>
    <row r="23" spans="2:6" x14ac:dyDescent="0.35">
      <c r="B23" s="122" t="s">
        <v>188</v>
      </c>
      <c r="C23" s="121">
        <v>151.4</v>
      </c>
      <c r="D23" s="121">
        <v>144.6</v>
      </c>
      <c r="E23" s="123">
        <f t="shared" si="0"/>
        <v>2.0903573836817221E-2</v>
      </c>
      <c r="F23" s="123">
        <f t="shared" si="1"/>
        <v>2.0465772759350784E-2</v>
      </c>
    </row>
    <row r="24" spans="2:6" x14ac:dyDescent="0.35">
      <c r="B24" s="122" t="s">
        <v>187</v>
      </c>
      <c r="C24" s="121">
        <v>152.5</v>
      </c>
      <c r="D24" s="121">
        <v>145.80000000000001</v>
      </c>
      <c r="E24" s="120">
        <f t="shared" si="0"/>
        <v>7.2655217965653515E-3</v>
      </c>
      <c r="F24" s="120">
        <f t="shared" si="1"/>
        <v>8.2987551867221097E-3</v>
      </c>
    </row>
    <row r="25" spans="2:6" x14ac:dyDescent="0.35">
      <c r="B25" s="122" t="s">
        <v>186</v>
      </c>
      <c r="C25" s="121">
        <v>154.69999999999999</v>
      </c>
      <c r="D25" s="121">
        <v>148.69999999999999</v>
      </c>
      <c r="E25" s="120">
        <f t="shared" si="0"/>
        <v>1.4426229508196647E-2</v>
      </c>
      <c r="F25" s="120">
        <f t="shared" si="1"/>
        <v>1.9890260631001213E-2</v>
      </c>
    </row>
    <row r="26" spans="2:6" x14ac:dyDescent="0.35">
      <c r="B26" s="122" t="s">
        <v>185</v>
      </c>
      <c r="C26" s="121">
        <v>155.80000000000001</v>
      </c>
      <c r="D26" s="121">
        <v>151.1</v>
      </c>
      <c r="E26" s="120">
        <f t="shared" si="0"/>
        <v>7.1105365223013755E-3</v>
      </c>
      <c r="F26" s="120">
        <f t="shared" si="1"/>
        <v>1.6139878950907908E-2</v>
      </c>
    </row>
    <row r="27" spans="2:6" x14ac:dyDescent="0.35">
      <c r="B27" s="122" t="s">
        <v>184</v>
      </c>
      <c r="C27" s="121">
        <v>158.30000000000001</v>
      </c>
      <c r="D27" s="121">
        <v>151.6</v>
      </c>
      <c r="E27" s="120">
        <f t="shared" si="0"/>
        <v>1.6046213093709884E-2</v>
      </c>
      <c r="F27" s="120">
        <f t="shared" si="1"/>
        <v>3.3090668431502318E-3</v>
      </c>
    </row>
    <row r="28" spans="2:6" x14ac:dyDescent="0.35">
      <c r="B28" s="122" t="s">
        <v>183</v>
      </c>
      <c r="C28" s="121">
        <v>163.19999999999999</v>
      </c>
      <c r="D28" s="121">
        <v>156.1</v>
      </c>
      <c r="E28" s="120">
        <f t="shared" si="0"/>
        <v>3.095388502842689E-2</v>
      </c>
      <c r="F28" s="120">
        <f>+(D28-D27)/D27</f>
        <v>2.9683377308707126E-2</v>
      </c>
    </row>
    <row r="29" spans="2:6" x14ac:dyDescent="0.35">
      <c r="B29" s="240" t="s">
        <v>183</v>
      </c>
      <c r="C29" s="238">
        <v>100.9</v>
      </c>
      <c r="D29" s="238">
        <v>101.1</v>
      </c>
      <c r="E29" s="239"/>
      <c r="F29" s="239"/>
    </row>
    <row r="30" spans="2:6" x14ac:dyDescent="0.35">
      <c r="B30" s="237" t="s">
        <v>832</v>
      </c>
      <c r="C30" s="121">
        <v>105.8</v>
      </c>
      <c r="D30" s="121">
        <v>105</v>
      </c>
      <c r="E30" s="120">
        <f>+(C30-C29)/C29</f>
        <v>4.8562933597621323E-2</v>
      </c>
      <c r="F30" s="120">
        <f>+(D30-D29)/D29</f>
        <v>3.8575667655786405E-2</v>
      </c>
    </row>
    <row r="31" spans="2:6" x14ac:dyDescent="0.35">
      <c r="B31" s="237" t="s">
        <v>833</v>
      </c>
      <c r="C31" s="121">
        <v>108.1</v>
      </c>
      <c r="D31" s="121">
        <v>106.2</v>
      </c>
      <c r="E31" s="120">
        <f>+(C31-C30)/C30</f>
        <v>2.1739130434782584E-2</v>
      </c>
      <c r="F31" s="120">
        <f>+(D31-D30)/D30</f>
        <v>1.1428571428571456E-2</v>
      </c>
    </row>
    <row r="33" spans="2:10" x14ac:dyDescent="0.35">
      <c r="E33" s="112" t="s">
        <v>182</v>
      </c>
      <c r="F33" s="116" t="s">
        <v>23</v>
      </c>
      <c r="H33" s="112" t="s">
        <v>181</v>
      </c>
    </row>
    <row r="35" spans="2:10" x14ac:dyDescent="0.35">
      <c r="B35" s="112" t="s">
        <v>180</v>
      </c>
      <c r="E35" s="119">
        <f>+AVERAGE(E9:E28)</f>
        <v>3.2463763675076585E-2</v>
      </c>
      <c r="F35" s="119">
        <f>+AVERAGE(F9:F28)</f>
        <v>2.6529214323641005E-2</v>
      </c>
      <c r="H35" s="119">
        <f>+(E35+F35)/2</f>
        <v>2.9496488999358795E-2</v>
      </c>
    </row>
    <row r="36" spans="2:10" x14ac:dyDescent="0.35">
      <c r="B36" s="112" t="s">
        <v>179</v>
      </c>
      <c r="E36" s="119">
        <f>+AVERAGE(E24:E28)</f>
        <v>1.5160477189840029E-2</v>
      </c>
      <c r="F36" s="119">
        <f>+AVERAGE(F24:F28)</f>
        <v>1.5464267784097718E-2</v>
      </c>
      <c r="H36" s="119">
        <f>+(E36+F36)/2</f>
        <v>1.5312372486968873E-2</v>
      </c>
    </row>
    <row r="37" spans="2:10" x14ac:dyDescent="0.35">
      <c r="E37" s="119"/>
      <c r="F37" s="119"/>
      <c r="H37" s="119"/>
    </row>
    <row r="38" spans="2:10" x14ac:dyDescent="0.35">
      <c r="B38" s="112" t="s">
        <v>178</v>
      </c>
      <c r="E38" s="117">
        <f>+AVERAGE(E35:E36)</f>
        <v>2.3812120432458308E-2</v>
      </c>
      <c r="F38" s="117">
        <f>+AVERAGE(F35:F36)</f>
        <v>2.099674105386936E-2</v>
      </c>
      <c r="H38" s="113">
        <f>+AVERAGE(H35:H36)</f>
        <v>2.2404430743163832E-2</v>
      </c>
    </row>
    <row r="39" spans="2:10" x14ac:dyDescent="0.35">
      <c r="E39" s="118"/>
      <c r="F39" s="118"/>
      <c r="H39" s="118"/>
    </row>
    <row r="40" spans="2:10" x14ac:dyDescent="0.35">
      <c r="E40" s="118"/>
      <c r="F40" s="118"/>
      <c r="H40" s="118"/>
    </row>
    <row r="41" spans="2:10" x14ac:dyDescent="0.35">
      <c r="B41" s="112" t="s">
        <v>36</v>
      </c>
      <c r="E41" s="117">
        <f>+AVERAGE(E23:E28)</f>
        <v>1.6117659964336228E-2</v>
      </c>
      <c r="F41" s="117">
        <f>+AVERAGE(F23:F28)</f>
        <v>1.6297851946639894E-2</v>
      </c>
      <c r="H41" s="113">
        <f>+(E41+F41)/2</f>
        <v>1.6207755955488061E-2</v>
      </c>
    </row>
    <row r="44" spans="2:10" x14ac:dyDescent="0.35">
      <c r="B44" s="112" t="s">
        <v>177</v>
      </c>
    </row>
    <row r="45" spans="2:10" x14ac:dyDescent="0.35">
      <c r="B45" s="112" t="s">
        <v>176</v>
      </c>
    </row>
    <row r="46" spans="2:10" x14ac:dyDescent="0.35">
      <c r="B46" s="112" t="s">
        <v>175</v>
      </c>
    </row>
    <row r="47" spans="2:10" x14ac:dyDescent="0.35">
      <c r="B47" s="361" t="s">
        <v>174</v>
      </c>
      <c r="C47" s="361"/>
      <c r="D47" s="361"/>
      <c r="E47" s="361"/>
      <c r="F47" s="361"/>
      <c r="G47" s="361"/>
      <c r="H47" s="361"/>
      <c r="I47" s="361"/>
      <c r="J47" s="361"/>
    </row>
    <row r="48" spans="2:10" x14ac:dyDescent="0.35">
      <c r="B48" s="235" t="s">
        <v>834</v>
      </c>
      <c r="F48" s="112"/>
    </row>
  </sheetData>
  <mergeCells count="1">
    <mergeCell ref="B47:J47"/>
  </mergeCells>
  <hyperlinks>
    <hyperlink ref="K4" r:id="rId1" location="timeframe" xr:uid="{00000000-0004-0000-1100-000000000000}"/>
  </hyperlinks>
  <pageMargins left="0.7" right="0.7" top="0.75" bottom="0.75" header="0.3" footer="0.3"/>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B2:J55"/>
  <sheetViews>
    <sheetView zoomScale="80" zoomScaleNormal="80" workbookViewId="0">
      <selection activeCell="F46" sqref="F46"/>
    </sheetView>
  </sheetViews>
  <sheetFormatPr defaultColWidth="8.7265625" defaultRowHeight="14.5" x14ac:dyDescent="0.35"/>
  <cols>
    <col min="1" max="1" width="8.7265625" style="112"/>
    <col min="2" max="3" width="11.26953125" style="112" customWidth="1"/>
    <col min="4" max="4" width="13.1796875" style="116" customWidth="1"/>
    <col min="5" max="16384" width="8.7265625" style="112"/>
  </cols>
  <sheetData>
    <row r="2" spans="2:10" x14ac:dyDescent="0.35">
      <c r="J2" s="115" t="s">
        <v>215</v>
      </c>
    </row>
    <row r="4" spans="2:10" x14ac:dyDescent="0.35">
      <c r="B4" s="129" t="s">
        <v>214</v>
      </c>
      <c r="C4" s="128"/>
      <c r="D4" s="127"/>
    </row>
    <row r="5" spans="2:10" ht="43.5" x14ac:dyDescent="0.35">
      <c r="B5" s="122" t="s">
        <v>5</v>
      </c>
      <c r="C5" s="126" t="s">
        <v>213</v>
      </c>
      <c r="D5" s="125" t="s">
        <v>212</v>
      </c>
    </row>
    <row r="6" spans="2:10" x14ac:dyDescent="0.35">
      <c r="B6" s="122">
        <v>1980</v>
      </c>
      <c r="C6" s="122">
        <v>45.2</v>
      </c>
      <c r="D6" s="124"/>
    </row>
    <row r="7" spans="2:10" x14ac:dyDescent="0.35">
      <c r="B7" s="122">
        <v>1981</v>
      </c>
      <c r="C7" s="122">
        <v>50.6</v>
      </c>
      <c r="D7" s="124">
        <f t="shared" ref="D7:D45" si="0">+(C7-C6)/C6</f>
        <v>0.11946902654867253</v>
      </c>
    </row>
    <row r="8" spans="2:10" x14ac:dyDescent="0.35">
      <c r="B8" s="122">
        <v>1982</v>
      </c>
      <c r="C8" s="122">
        <v>55.4</v>
      </c>
      <c r="D8" s="124">
        <f t="shared" si="0"/>
        <v>9.4861660079051321E-2</v>
      </c>
    </row>
    <row r="9" spans="2:10" x14ac:dyDescent="0.35">
      <c r="B9" s="122">
        <v>1983</v>
      </c>
      <c r="C9" s="122">
        <v>59</v>
      </c>
      <c r="D9" s="124">
        <f t="shared" si="0"/>
        <v>6.4981949458483776E-2</v>
      </c>
    </row>
    <row r="10" spans="2:10" x14ac:dyDescent="0.35">
      <c r="B10" s="122">
        <v>1984</v>
      </c>
      <c r="C10" s="122">
        <v>61.6</v>
      </c>
      <c r="D10" s="124">
        <f t="shared" si="0"/>
        <v>4.4067796610169518E-2</v>
      </c>
    </row>
    <row r="11" spans="2:10" x14ac:dyDescent="0.35">
      <c r="B11" s="122">
        <v>1985</v>
      </c>
      <c r="C11" s="122">
        <v>64.400000000000006</v>
      </c>
      <c r="D11" s="124">
        <f t="shared" si="0"/>
        <v>4.5454545454545525E-2</v>
      </c>
    </row>
    <row r="12" spans="2:10" x14ac:dyDescent="0.35">
      <c r="B12" s="122">
        <v>1986</v>
      </c>
      <c r="C12" s="122">
        <v>66.599999999999994</v>
      </c>
      <c r="D12" s="124">
        <f t="shared" si="0"/>
        <v>3.4161490683229635E-2</v>
      </c>
    </row>
    <row r="13" spans="2:10" x14ac:dyDescent="0.35">
      <c r="B13" s="122">
        <v>1987</v>
      </c>
      <c r="C13" s="122">
        <v>68.900000000000006</v>
      </c>
      <c r="D13" s="124">
        <f t="shared" si="0"/>
        <v>3.4534534534534707E-2</v>
      </c>
    </row>
    <row r="14" spans="2:10" x14ac:dyDescent="0.35">
      <c r="B14" s="122">
        <v>1988</v>
      </c>
      <c r="C14" s="122">
        <v>71.5</v>
      </c>
      <c r="D14" s="124">
        <f t="shared" si="0"/>
        <v>3.7735849056603689E-2</v>
      </c>
    </row>
    <row r="15" spans="2:10" x14ac:dyDescent="0.35">
      <c r="B15" s="122">
        <v>1989</v>
      </c>
      <c r="C15" s="122">
        <v>74.900000000000006</v>
      </c>
      <c r="D15" s="124">
        <f t="shared" si="0"/>
        <v>4.7552447552447634E-2</v>
      </c>
    </row>
    <row r="16" spans="2:10" x14ac:dyDescent="0.35">
      <c r="B16" s="122">
        <v>1990</v>
      </c>
      <c r="C16" s="122">
        <v>78.7</v>
      </c>
      <c r="D16" s="124">
        <f t="shared" si="0"/>
        <v>5.0734312416555363E-2</v>
      </c>
    </row>
    <row r="17" spans="2:4" x14ac:dyDescent="0.35">
      <c r="B17" s="122">
        <v>1991</v>
      </c>
      <c r="C17" s="122">
        <v>83.3</v>
      </c>
      <c r="D17" s="124">
        <f t="shared" si="0"/>
        <v>5.8449809402795351E-2</v>
      </c>
    </row>
    <row r="18" spans="2:4" x14ac:dyDescent="0.35">
      <c r="B18" s="122">
        <v>1992</v>
      </c>
      <c r="C18" s="122">
        <v>84</v>
      </c>
      <c r="D18" s="124">
        <f t="shared" si="0"/>
        <v>8.4033613445378495E-3</v>
      </c>
    </row>
    <row r="19" spans="2:4" x14ac:dyDescent="0.35">
      <c r="B19" s="122">
        <v>1993</v>
      </c>
      <c r="C19" s="122">
        <v>84.8</v>
      </c>
      <c r="D19" s="124">
        <f t="shared" si="0"/>
        <v>9.52380952380949E-3</v>
      </c>
    </row>
    <row r="20" spans="2:4" x14ac:dyDescent="0.35">
      <c r="B20" s="122">
        <v>1994</v>
      </c>
      <c r="C20" s="122">
        <v>85.7</v>
      </c>
      <c r="D20" s="124">
        <f t="shared" si="0"/>
        <v>1.0613207547169878E-2</v>
      </c>
    </row>
    <row r="21" spans="2:4" x14ac:dyDescent="0.35">
      <c r="B21" s="122">
        <v>1995</v>
      </c>
      <c r="C21" s="122">
        <v>86.8</v>
      </c>
      <c r="D21" s="124">
        <f t="shared" si="0"/>
        <v>1.2835472578763061E-2</v>
      </c>
    </row>
    <row r="22" spans="2:4" x14ac:dyDescent="0.35">
      <c r="B22" s="122">
        <v>1996</v>
      </c>
      <c r="C22" s="122">
        <v>88.3</v>
      </c>
      <c r="D22" s="124">
        <f t="shared" si="0"/>
        <v>1.7281105990783412E-2</v>
      </c>
    </row>
    <row r="23" spans="2:4" x14ac:dyDescent="0.35">
      <c r="B23" s="122">
        <v>1997</v>
      </c>
      <c r="C23" s="122">
        <v>90</v>
      </c>
      <c r="D23" s="124">
        <f t="shared" si="0"/>
        <v>1.925254813137036E-2</v>
      </c>
    </row>
    <row r="24" spans="2:4" x14ac:dyDescent="0.35">
      <c r="B24" s="122">
        <v>1998</v>
      </c>
      <c r="C24" s="122">
        <v>90.7</v>
      </c>
      <c r="D24" s="123">
        <f t="shared" si="0"/>
        <v>7.7777777777778096E-3</v>
      </c>
    </row>
    <row r="25" spans="2:4" x14ac:dyDescent="0.35">
      <c r="B25" s="122">
        <v>1999</v>
      </c>
      <c r="C25" s="122">
        <v>92.2</v>
      </c>
      <c r="D25" s="123">
        <f t="shared" si="0"/>
        <v>1.65380374862183E-2</v>
      </c>
    </row>
    <row r="26" spans="2:4" x14ac:dyDescent="0.35">
      <c r="B26" s="122">
        <v>2000</v>
      </c>
      <c r="C26" s="122">
        <v>95.1</v>
      </c>
      <c r="D26" s="123">
        <f t="shared" si="0"/>
        <v>3.1453362255965199E-2</v>
      </c>
    </row>
    <row r="27" spans="2:4" x14ac:dyDescent="0.35">
      <c r="B27" s="122">
        <v>2001</v>
      </c>
      <c r="C27" s="122">
        <v>97</v>
      </c>
      <c r="D27" s="123">
        <f t="shared" si="0"/>
        <v>1.9978969505783446E-2</v>
      </c>
    </row>
    <row r="28" spans="2:4" x14ac:dyDescent="0.35">
      <c r="B28" s="122">
        <v>2002</v>
      </c>
      <c r="C28" s="122">
        <v>100</v>
      </c>
      <c r="D28" s="123">
        <f t="shared" si="0"/>
        <v>3.0927835051546393E-2</v>
      </c>
    </row>
    <row r="29" spans="2:4" x14ac:dyDescent="0.35">
      <c r="B29" s="122">
        <v>2003</v>
      </c>
      <c r="C29" s="122">
        <v>103.2</v>
      </c>
      <c r="D29" s="123">
        <f t="shared" si="0"/>
        <v>3.2000000000000028E-2</v>
      </c>
    </row>
    <row r="30" spans="2:4" x14ac:dyDescent="0.35">
      <c r="B30" s="122">
        <v>2004</v>
      </c>
      <c r="C30" s="122">
        <v>105</v>
      </c>
      <c r="D30" s="123">
        <f t="shared" si="0"/>
        <v>1.7441860465116251E-2</v>
      </c>
    </row>
    <row r="31" spans="2:4" x14ac:dyDescent="0.35">
      <c r="B31" s="122">
        <v>2005</v>
      </c>
      <c r="C31" s="122">
        <v>107.6</v>
      </c>
      <c r="D31" s="123">
        <f t="shared" si="0"/>
        <v>2.4761904761904707E-2</v>
      </c>
    </row>
    <row r="32" spans="2:4" x14ac:dyDescent="0.35">
      <c r="B32" s="122">
        <v>2006</v>
      </c>
      <c r="C32" s="122">
        <v>109.8</v>
      </c>
      <c r="D32" s="123">
        <f t="shared" si="0"/>
        <v>2.0446096654275121E-2</v>
      </c>
    </row>
    <row r="33" spans="2:4" x14ac:dyDescent="0.35">
      <c r="B33" s="122">
        <v>2007</v>
      </c>
      <c r="C33" s="122">
        <v>112</v>
      </c>
      <c r="D33" s="123">
        <f t="shared" si="0"/>
        <v>2.0036429872495473E-2</v>
      </c>
    </row>
    <row r="34" spans="2:4" x14ac:dyDescent="0.35">
      <c r="B34" s="122">
        <v>2008</v>
      </c>
      <c r="C34" s="122">
        <v>115.2</v>
      </c>
      <c r="D34" s="123">
        <f t="shared" si="0"/>
        <v>2.8571428571428598E-2</v>
      </c>
    </row>
    <row r="35" spans="2:4" x14ac:dyDescent="0.35">
      <c r="B35" s="122">
        <f>+B34+1</f>
        <v>2009</v>
      </c>
      <c r="C35" s="122">
        <v>115.3</v>
      </c>
      <c r="D35" s="123">
        <f t="shared" si="0"/>
        <v>8.6805555555550618E-4</v>
      </c>
    </row>
    <row r="36" spans="2:4" x14ac:dyDescent="0.35">
      <c r="B36" s="122">
        <v>2010</v>
      </c>
      <c r="C36" s="122">
        <v>117.6</v>
      </c>
      <c r="D36" s="123">
        <f t="shared" si="0"/>
        <v>1.9947961838681676E-2</v>
      </c>
    </row>
    <row r="37" spans="2:4" x14ac:dyDescent="0.35">
      <c r="B37" s="122">
        <v>2011</v>
      </c>
      <c r="C37" s="122">
        <v>121.7</v>
      </c>
      <c r="D37" s="123">
        <f t="shared" si="0"/>
        <v>3.4863945578231366E-2</v>
      </c>
    </row>
    <row r="38" spans="2:4" x14ac:dyDescent="0.35">
      <c r="B38" s="122">
        <v>2012</v>
      </c>
      <c r="C38" s="122">
        <v>123.8</v>
      </c>
      <c r="D38" s="123">
        <f t="shared" si="0"/>
        <v>1.7255546425636765E-2</v>
      </c>
    </row>
    <row r="39" spans="2:4" x14ac:dyDescent="0.35">
      <c r="B39" s="122">
        <v>2013</v>
      </c>
      <c r="C39" s="122">
        <v>125.2</v>
      </c>
      <c r="D39" s="120">
        <f t="shared" si="0"/>
        <v>1.130856219709213E-2</v>
      </c>
    </row>
    <row r="40" spans="2:4" x14ac:dyDescent="0.35">
      <c r="B40" s="122">
        <v>2014</v>
      </c>
      <c r="C40" s="122">
        <v>127.5</v>
      </c>
      <c r="D40" s="120">
        <f t="shared" si="0"/>
        <v>1.8370607028753972E-2</v>
      </c>
    </row>
    <row r="41" spans="2:4" x14ac:dyDescent="0.35">
      <c r="B41" s="122">
        <v>2015</v>
      </c>
      <c r="C41" s="122">
        <v>128.19999999999999</v>
      </c>
      <c r="D41" s="120">
        <f t="shared" si="0"/>
        <v>5.4901960784312833E-3</v>
      </c>
    </row>
    <row r="42" spans="2:4" x14ac:dyDescent="0.35">
      <c r="B42" s="122">
        <v>2016</v>
      </c>
      <c r="C42" s="122">
        <v>129.80000000000001</v>
      </c>
      <c r="D42" s="120">
        <f t="shared" si="0"/>
        <v>1.2480499219968978E-2</v>
      </c>
    </row>
    <row r="43" spans="2:4" x14ac:dyDescent="0.35">
      <c r="B43" s="122">
        <v>2017</v>
      </c>
      <c r="C43" s="122">
        <v>131.19999999999999</v>
      </c>
      <c r="D43" s="120">
        <f t="shared" si="0"/>
        <v>1.0785824345146203E-2</v>
      </c>
    </row>
    <row r="44" spans="2:4" x14ac:dyDescent="0.35">
      <c r="B44" s="122">
        <v>2018</v>
      </c>
      <c r="C44" s="121">
        <v>134</v>
      </c>
      <c r="D44" s="236">
        <f t="shared" si="0"/>
        <v>2.1341463414634235E-2</v>
      </c>
    </row>
    <row r="45" spans="2:4" x14ac:dyDescent="0.35">
      <c r="B45" s="122">
        <v>2019</v>
      </c>
      <c r="C45" s="121">
        <v>136</v>
      </c>
      <c r="D45" s="236">
        <f t="shared" si="0"/>
        <v>1.4925373134328358E-2</v>
      </c>
    </row>
    <row r="46" spans="2:4" x14ac:dyDescent="0.35">
      <c r="B46" s="122">
        <v>2020</v>
      </c>
      <c r="C46" s="121">
        <v>136.69999999999999</v>
      </c>
      <c r="D46" s="236">
        <f>+(C46-C45)/C45</f>
        <v>5.1470588235293284E-3</v>
      </c>
    </row>
    <row r="47" spans="2:4" x14ac:dyDescent="0.35">
      <c r="B47" s="122"/>
    </row>
    <row r="49" spans="2:4" x14ac:dyDescent="0.35">
      <c r="B49" s="112" t="s">
        <v>180</v>
      </c>
      <c r="D49" s="119">
        <f>+AVERAGE(D24:D43)</f>
        <v>1.9065245033500461E-2</v>
      </c>
    </row>
    <row r="50" spans="2:4" x14ac:dyDescent="0.35">
      <c r="B50" s="112" t="s">
        <v>179</v>
      </c>
      <c r="D50" s="119">
        <f>+AVERAGE(D39:D43)</f>
        <v>1.1687137773878514E-2</v>
      </c>
    </row>
    <row r="51" spans="2:4" x14ac:dyDescent="0.35">
      <c r="D51" s="119"/>
    </row>
    <row r="52" spans="2:4" x14ac:dyDescent="0.35">
      <c r="B52" s="112" t="s">
        <v>178</v>
      </c>
      <c r="D52" s="113">
        <f>+AVERAGE(D49:D50)</f>
        <v>1.5376191403689487E-2</v>
      </c>
    </row>
    <row r="53" spans="2:4" x14ac:dyDescent="0.35">
      <c r="D53" s="119"/>
    </row>
    <row r="54" spans="2:4" x14ac:dyDescent="0.35">
      <c r="D54" s="119"/>
    </row>
    <row r="55" spans="2:4" x14ac:dyDescent="0.35">
      <c r="B55" s="112" t="s">
        <v>36</v>
      </c>
      <c r="D55" s="113">
        <f>+AVERAGE(D38:D43)</f>
        <v>1.2615205882504888E-2</v>
      </c>
    </row>
  </sheetData>
  <hyperlinks>
    <hyperlink ref="J2" r:id="rId1" xr:uid="{00000000-0004-0000-12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
  <sheetViews>
    <sheetView workbookViewId="0">
      <selection sqref="A1:A2"/>
    </sheetView>
  </sheetViews>
  <sheetFormatPr defaultRowHeight="12.5" x14ac:dyDescent="0.25"/>
  <sheetData>
    <row r="1" spans="1:2" x14ac:dyDescent="0.25">
      <c r="A1" s="62" t="s">
        <v>677</v>
      </c>
      <c r="B1" s="62" t="s">
        <v>2</v>
      </c>
    </row>
    <row r="2" spans="1:2" x14ac:dyDescent="0.25">
      <c r="A2" s="62" t="s">
        <v>675</v>
      </c>
      <c r="B2" s="82">
        <v>1.77E-2</v>
      </c>
    </row>
    <row r="3" spans="1:2" x14ac:dyDescent="0.25">
      <c r="A3" s="62" t="s">
        <v>676</v>
      </c>
      <c r="B3" s="81">
        <v>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109"/>
  <sheetViews>
    <sheetView workbookViewId="0">
      <selection activeCell="F53" sqref="F53"/>
    </sheetView>
  </sheetViews>
  <sheetFormatPr defaultColWidth="8.7265625" defaultRowHeight="14.5" x14ac:dyDescent="0.35"/>
  <cols>
    <col min="1" max="16384" width="8.7265625" style="112"/>
  </cols>
  <sheetData>
    <row r="1" spans="1:4" x14ac:dyDescent="0.35">
      <c r="A1" s="112" t="s">
        <v>301</v>
      </c>
    </row>
    <row r="2" spans="1:4" x14ac:dyDescent="0.35">
      <c r="A2" s="112" t="s">
        <v>300</v>
      </c>
    </row>
    <row r="3" spans="1:4" x14ac:dyDescent="0.35">
      <c r="A3" s="112" t="s">
        <v>299</v>
      </c>
    </row>
    <row r="4" spans="1:4" x14ac:dyDescent="0.35">
      <c r="A4" s="112" t="s">
        <v>298</v>
      </c>
    </row>
    <row r="6" spans="1:4" x14ac:dyDescent="0.35">
      <c r="A6" s="112" t="s">
        <v>297</v>
      </c>
      <c r="B6" s="112" t="s">
        <v>296</v>
      </c>
      <c r="C6" s="112" t="s">
        <v>295</v>
      </c>
      <c r="D6" s="112" t="s">
        <v>294</v>
      </c>
    </row>
    <row r="7" spans="1:4" x14ac:dyDescent="0.35">
      <c r="C7" s="112" t="s">
        <v>293</v>
      </c>
    </row>
    <row r="8" spans="1:4" x14ac:dyDescent="0.35">
      <c r="A8" s="112" t="s">
        <v>292</v>
      </c>
      <c r="B8" s="112" t="s">
        <v>205</v>
      </c>
      <c r="C8" s="112">
        <v>83.8</v>
      </c>
      <c r="D8" s="112">
        <v>95.2</v>
      </c>
    </row>
    <row r="9" spans="1:4" x14ac:dyDescent="0.35">
      <c r="B9" s="112" t="s">
        <v>291</v>
      </c>
      <c r="C9" s="112">
        <v>84.2</v>
      </c>
      <c r="D9" s="112">
        <v>95.5</v>
      </c>
    </row>
    <row r="10" spans="1:4" x14ac:dyDescent="0.35">
      <c r="B10" s="112" t="s">
        <v>290</v>
      </c>
      <c r="C10" s="112">
        <v>84.7</v>
      </c>
      <c r="D10" s="112">
        <v>95.4</v>
      </c>
    </row>
    <row r="11" spans="1:4" x14ac:dyDescent="0.35">
      <c r="B11" s="112" t="s">
        <v>289</v>
      </c>
      <c r="C11" s="112">
        <v>85.1</v>
      </c>
      <c r="D11" s="112">
        <v>95.5</v>
      </c>
    </row>
    <row r="12" spans="1:4" x14ac:dyDescent="0.35">
      <c r="B12" s="112" t="s">
        <v>204</v>
      </c>
      <c r="C12" s="112">
        <v>85.4</v>
      </c>
      <c r="D12" s="112">
        <v>95.6</v>
      </c>
    </row>
    <row r="13" spans="1:4" x14ac:dyDescent="0.35">
      <c r="B13" s="112" t="s">
        <v>288</v>
      </c>
      <c r="C13" s="112">
        <v>85.8</v>
      </c>
      <c r="D13" s="112">
        <v>96</v>
      </c>
    </row>
    <row r="14" spans="1:4" x14ac:dyDescent="0.35">
      <c r="B14" s="112" t="s">
        <v>287</v>
      </c>
      <c r="C14" s="112">
        <v>86.6</v>
      </c>
      <c r="D14" s="112">
        <v>92.2</v>
      </c>
    </row>
    <row r="15" spans="1:4" x14ac:dyDescent="0.35">
      <c r="B15" s="112" t="s">
        <v>286</v>
      </c>
      <c r="C15" s="112">
        <v>87.1</v>
      </c>
      <c r="D15" s="112">
        <v>92.6</v>
      </c>
    </row>
    <row r="16" spans="1:4" x14ac:dyDescent="0.35">
      <c r="B16" s="112" t="s">
        <v>203</v>
      </c>
      <c r="C16" s="112">
        <v>87.3</v>
      </c>
      <c r="D16" s="112">
        <v>92.8</v>
      </c>
    </row>
    <row r="17" spans="2:4" x14ac:dyDescent="0.35">
      <c r="B17" s="112" t="s">
        <v>285</v>
      </c>
      <c r="C17" s="112">
        <v>88</v>
      </c>
      <c r="D17" s="112">
        <v>93.4</v>
      </c>
    </row>
    <row r="18" spans="2:4" x14ac:dyDescent="0.35">
      <c r="B18" s="112" t="s">
        <v>284</v>
      </c>
      <c r="C18" s="112">
        <v>88.3</v>
      </c>
      <c r="D18" s="112">
        <v>93.7</v>
      </c>
    </row>
    <row r="19" spans="2:4" x14ac:dyDescent="0.35">
      <c r="B19" s="112" t="s">
        <v>283</v>
      </c>
      <c r="C19" s="112">
        <v>88.6</v>
      </c>
      <c r="D19" s="112">
        <v>93.9</v>
      </c>
    </row>
    <row r="20" spans="2:4" x14ac:dyDescent="0.35">
      <c r="B20" s="112" t="s">
        <v>202</v>
      </c>
      <c r="C20" s="112">
        <v>89</v>
      </c>
      <c r="D20" s="112">
        <v>94.5</v>
      </c>
    </row>
    <row r="21" spans="2:4" x14ac:dyDescent="0.35">
      <c r="B21" s="112" t="s">
        <v>282</v>
      </c>
      <c r="C21" s="112">
        <v>89.1</v>
      </c>
      <c r="D21" s="112">
        <v>95</v>
      </c>
    </row>
    <row r="22" spans="2:4" x14ac:dyDescent="0.35">
      <c r="B22" s="112" t="s">
        <v>281</v>
      </c>
      <c r="C22" s="112">
        <v>89.9</v>
      </c>
      <c r="D22" s="112">
        <v>95.4</v>
      </c>
    </row>
    <row r="23" spans="2:4" x14ac:dyDescent="0.35">
      <c r="B23" s="112" t="s">
        <v>280</v>
      </c>
      <c r="C23" s="112">
        <v>90.4</v>
      </c>
      <c r="D23" s="112">
        <v>95.7</v>
      </c>
    </row>
    <row r="24" spans="2:4" x14ac:dyDescent="0.35">
      <c r="B24" s="112" t="s">
        <v>201</v>
      </c>
      <c r="C24" s="112">
        <v>90.9</v>
      </c>
      <c r="D24" s="112">
        <v>95.9</v>
      </c>
    </row>
    <row r="25" spans="2:4" x14ac:dyDescent="0.35">
      <c r="B25" s="112" t="s">
        <v>279</v>
      </c>
      <c r="C25" s="112">
        <v>92.1</v>
      </c>
      <c r="D25" s="112">
        <v>96.9</v>
      </c>
    </row>
    <row r="26" spans="2:4" x14ac:dyDescent="0.35">
      <c r="B26" s="112" t="s">
        <v>278</v>
      </c>
      <c r="C26" s="112">
        <v>94.9</v>
      </c>
      <c r="D26" s="112">
        <v>97.8</v>
      </c>
    </row>
    <row r="27" spans="2:4" x14ac:dyDescent="0.35">
      <c r="B27" s="112" t="s">
        <v>277</v>
      </c>
      <c r="C27" s="112">
        <v>96.1</v>
      </c>
      <c r="D27" s="112">
        <v>98.2</v>
      </c>
    </row>
    <row r="28" spans="2:4" x14ac:dyDescent="0.35">
      <c r="B28" s="112" t="s">
        <v>200</v>
      </c>
      <c r="C28" s="112">
        <v>97.3</v>
      </c>
      <c r="D28" s="112">
        <v>98.3</v>
      </c>
    </row>
    <row r="29" spans="2:4" x14ac:dyDescent="0.35">
      <c r="B29" s="112" t="s">
        <v>276</v>
      </c>
      <c r="C29" s="112">
        <v>97.4</v>
      </c>
      <c r="D29" s="112">
        <v>98</v>
      </c>
    </row>
    <row r="30" spans="2:4" x14ac:dyDescent="0.35">
      <c r="B30" s="112" t="s">
        <v>275</v>
      </c>
      <c r="C30" s="112">
        <v>98.3</v>
      </c>
      <c r="D30" s="112">
        <v>98.3</v>
      </c>
    </row>
    <row r="31" spans="2:4" x14ac:dyDescent="0.35">
      <c r="B31" s="112" t="s">
        <v>274</v>
      </c>
      <c r="C31" s="112">
        <v>98.5</v>
      </c>
      <c r="D31" s="112">
        <v>98.6</v>
      </c>
    </row>
    <row r="32" spans="2:4" x14ac:dyDescent="0.35">
      <c r="B32" s="112" t="s">
        <v>199</v>
      </c>
      <c r="C32" s="112">
        <v>98.5</v>
      </c>
      <c r="D32" s="112">
        <v>98.6</v>
      </c>
    </row>
    <row r="33" spans="2:4" x14ac:dyDescent="0.35">
      <c r="B33" s="112" t="s">
        <v>273</v>
      </c>
      <c r="C33" s="112">
        <v>99.3</v>
      </c>
      <c r="D33" s="112">
        <v>99.2</v>
      </c>
    </row>
    <row r="34" spans="2:4" x14ac:dyDescent="0.35">
      <c r="B34" s="112" t="s">
        <v>272</v>
      </c>
      <c r="C34" s="112">
        <v>99.7</v>
      </c>
      <c r="D34" s="112">
        <v>99.7</v>
      </c>
    </row>
    <row r="35" spans="2:4" x14ac:dyDescent="0.35">
      <c r="B35" s="112" t="s">
        <v>271</v>
      </c>
      <c r="C35" s="112">
        <v>100.1</v>
      </c>
      <c r="D35" s="112">
        <v>100.1</v>
      </c>
    </row>
    <row r="36" spans="2:4" x14ac:dyDescent="0.35">
      <c r="B36" s="112" t="s">
        <v>198</v>
      </c>
      <c r="C36" s="112">
        <v>100.9</v>
      </c>
      <c r="D36" s="112">
        <v>101</v>
      </c>
    </row>
    <row r="37" spans="2:4" x14ac:dyDescent="0.35">
      <c r="B37" s="112" t="s">
        <v>270</v>
      </c>
      <c r="C37" s="112">
        <v>102</v>
      </c>
      <c r="D37" s="112">
        <v>101.1</v>
      </c>
    </row>
    <row r="38" spans="2:4" x14ac:dyDescent="0.35">
      <c r="B38" s="112" t="s">
        <v>269</v>
      </c>
      <c r="C38" s="112">
        <v>102.8</v>
      </c>
      <c r="D38" s="112">
        <v>102.3</v>
      </c>
    </row>
    <row r="39" spans="2:4" x14ac:dyDescent="0.35">
      <c r="B39" s="112" t="s">
        <v>268</v>
      </c>
      <c r="C39" s="112">
        <v>103.4</v>
      </c>
      <c r="D39" s="112">
        <v>102.9</v>
      </c>
    </row>
    <row r="40" spans="2:4" x14ac:dyDescent="0.35">
      <c r="B40" s="112" t="s">
        <v>197</v>
      </c>
      <c r="C40" s="112">
        <v>103.9</v>
      </c>
      <c r="D40" s="112">
        <v>103.9</v>
      </c>
    </row>
    <row r="41" spans="2:4" x14ac:dyDescent="0.35">
      <c r="B41" s="112" t="s">
        <v>267</v>
      </c>
      <c r="C41" s="112">
        <v>106.1</v>
      </c>
      <c r="D41" s="112">
        <v>105.7</v>
      </c>
    </row>
    <row r="42" spans="2:4" x14ac:dyDescent="0.35">
      <c r="B42" s="112" t="s">
        <v>266</v>
      </c>
      <c r="C42" s="112">
        <v>108.6</v>
      </c>
      <c r="D42" s="112">
        <v>108</v>
      </c>
    </row>
    <row r="43" spans="2:4" x14ac:dyDescent="0.35">
      <c r="B43" s="112" t="s">
        <v>265</v>
      </c>
      <c r="C43" s="112">
        <v>111.3</v>
      </c>
      <c r="D43" s="112">
        <v>109.8</v>
      </c>
    </row>
    <row r="44" spans="2:4" x14ac:dyDescent="0.35">
      <c r="B44" s="112" t="s">
        <v>196</v>
      </c>
      <c r="C44" s="112">
        <v>112.8</v>
      </c>
      <c r="D44" s="112">
        <v>110.8</v>
      </c>
    </row>
    <row r="45" spans="2:4" x14ac:dyDescent="0.35">
      <c r="B45" s="112" t="s">
        <v>264</v>
      </c>
      <c r="C45" s="112">
        <v>113.1</v>
      </c>
      <c r="D45" s="112">
        <v>110.9</v>
      </c>
    </row>
    <row r="46" spans="2:4" x14ac:dyDescent="0.35">
      <c r="B46" s="112" t="s">
        <v>263</v>
      </c>
      <c r="C46" s="112">
        <v>115</v>
      </c>
      <c r="D46" s="112">
        <v>112.1</v>
      </c>
    </row>
    <row r="47" spans="2:4" x14ac:dyDescent="0.35">
      <c r="B47" s="112" t="s">
        <v>262</v>
      </c>
      <c r="C47" s="112">
        <v>117</v>
      </c>
      <c r="D47" s="112">
        <v>114</v>
      </c>
    </row>
    <row r="48" spans="2:4" x14ac:dyDescent="0.35">
      <c r="B48" s="112" t="s">
        <v>195</v>
      </c>
      <c r="C48" s="112">
        <v>118.5</v>
      </c>
      <c r="D48" s="112">
        <v>115.4</v>
      </c>
    </row>
    <row r="49" spans="2:4" x14ac:dyDescent="0.35">
      <c r="B49" s="112" t="s">
        <v>261</v>
      </c>
      <c r="C49" s="112">
        <v>120.2</v>
      </c>
      <c r="D49" s="112">
        <v>116.8</v>
      </c>
    </row>
    <row r="50" spans="2:4" x14ac:dyDescent="0.35">
      <c r="B50" s="112" t="s">
        <v>260</v>
      </c>
      <c r="C50" s="112">
        <v>123.4</v>
      </c>
      <c r="D50" s="112">
        <v>118.5</v>
      </c>
    </row>
    <row r="51" spans="2:4" x14ac:dyDescent="0.35">
      <c r="B51" s="112" t="s">
        <v>259</v>
      </c>
      <c r="C51" s="112">
        <v>126.5</v>
      </c>
      <c r="D51" s="112">
        <v>120.2</v>
      </c>
    </row>
    <row r="52" spans="2:4" x14ac:dyDescent="0.35">
      <c r="B52" s="112" t="s">
        <v>194</v>
      </c>
      <c r="C52" s="112">
        <v>129.5</v>
      </c>
      <c r="D52" s="112">
        <v>121.1</v>
      </c>
    </row>
    <row r="53" spans="2:4" x14ac:dyDescent="0.35">
      <c r="B53" s="112" t="s">
        <v>258</v>
      </c>
      <c r="C53" s="112">
        <v>132.1</v>
      </c>
      <c r="D53" s="112">
        <v>123</v>
      </c>
    </row>
    <row r="54" spans="2:4" x14ac:dyDescent="0.35">
      <c r="B54" s="112" t="s">
        <v>257</v>
      </c>
      <c r="C54" s="112">
        <v>136.5</v>
      </c>
      <c r="D54" s="112">
        <v>126.3</v>
      </c>
    </row>
    <row r="55" spans="2:4" x14ac:dyDescent="0.35">
      <c r="B55" s="112" t="s">
        <v>256</v>
      </c>
      <c r="C55" s="112">
        <v>138.69999999999999</v>
      </c>
      <c r="D55" s="112">
        <v>127.3</v>
      </c>
    </row>
    <row r="56" spans="2:4" x14ac:dyDescent="0.35">
      <c r="B56" s="112" t="s">
        <v>193</v>
      </c>
      <c r="C56" s="112">
        <v>140</v>
      </c>
      <c r="D56" s="112">
        <v>127.7</v>
      </c>
    </row>
    <row r="57" spans="2:4" x14ac:dyDescent="0.35">
      <c r="B57" s="112" t="s">
        <v>255</v>
      </c>
      <c r="C57" s="112">
        <v>143.69999999999999</v>
      </c>
      <c r="D57" s="112">
        <v>129.30000000000001</v>
      </c>
    </row>
    <row r="58" spans="2:4" x14ac:dyDescent="0.35">
      <c r="B58" s="112" t="s">
        <v>254</v>
      </c>
      <c r="C58" s="112">
        <v>152.30000000000001</v>
      </c>
      <c r="D58" s="112">
        <v>133.6</v>
      </c>
    </row>
    <row r="59" spans="2:4" x14ac:dyDescent="0.35">
      <c r="B59" s="112" t="s">
        <v>253</v>
      </c>
      <c r="C59" s="112">
        <v>155.9</v>
      </c>
      <c r="D59" s="112">
        <v>136.1</v>
      </c>
    </row>
    <row r="60" spans="2:4" x14ac:dyDescent="0.35">
      <c r="B60" s="112" t="s">
        <v>192</v>
      </c>
      <c r="C60" s="112">
        <v>151.5</v>
      </c>
      <c r="D60" s="112">
        <v>136.30000000000001</v>
      </c>
    </row>
    <row r="61" spans="2:4" x14ac:dyDescent="0.35">
      <c r="B61" s="112" t="s">
        <v>252</v>
      </c>
      <c r="C61" s="112">
        <v>145.1</v>
      </c>
      <c r="D61" s="112">
        <v>135.5</v>
      </c>
    </row>
    <row r="62" spans="2:4" x14ac:dyDescent="0.35">
      <c r="B62" s="112" t="s">
        <v>251</v>
      </c>
      <c r="C62" s="112">
        <v>142.5</v>
      </c>
      <c r="D62" s="112">
        <v>136.1</v>
      </c>
    </row>
    <row r="63" spans="2:4" x14ac:dyDescent="0.35">
      <c r="B63" s="112" t="s">
        <v>250</v>
      </c>
      <c r="C63" s="112">
        <v>140.5</v>
      </c>
      <c r="D63" s="112">
        <v>135.6</v>
      </c>
    </row>
    <row r="64" spans="2:4" x14ac:dyDescent="0.35">
      <c r="B64" s="112" t="s">
        <v>191</v>
      </c>
      <c r="C64" s="112">
        <v>140</v>
      </c>
      <c r="D64" s="112">
        <v>135.69999999999999</v>
      </c>
    </row>
    <row r="65" spans="2:4" x14ac:dyDescent="0.35">
      <c r="B65" s="112" t="s">
        <v>249</v>
      </c>
      <c r="C65" s="112">
        <v>139.80000000000001</v>
      </c>
      <c r="D65" s="112">
        <v>136.30000000000001</v>
      </c>
    </row>
    <row r="66" spans="2:4" x14ac:dyDescent="0.35">
      <c r="B66" s="112" t="s">
        <v>248</v>
      </c>
      <c r="C66" s="112">
        <v>141.69999999999999</v>
      </c>
      <c r="D66" s="112">
        <v>137.4</v>
      </c>
    </row>
    <row r="67" spans="2:4" x14ac:dyDescent="0.35">
      <c r="B67" s="112" t="s">
        <v>247</v>
      </c>
      <c r="C67" s="112">
        <v>141.9</v>
      </c>
      <c r="D67" s="112">
        <v>137.5</v>
      </c>
    </row>
    <row r="68" spans="2:4" x14ac:dyDescent="0.35">
      <c r="B68" s="112" t="s">
        <v>190</v>
      </c>
      <c r="C68" s="112">
        <v>142.4</v>
      </c>
      <c r="D68" s="112">
        <v>137.9</v>
      </c>
    </row>
    <row r="69" spans="2:4" x14ac:dyDescent="0.35">
      <c r="B69" s="112" t="s">
        <v>246</v>
      </c>
      <c r="C69" s="112">
        <v>144.4</v>
      </c>
      <c r="D69" s="112">
        <v>139.4</v>
      </c>
    </row>
    <row r="70" spans="2:4" x14ac:dyDescent="0.35">
      <c r="B70" s="112" t="s">
        <v>245</v>
      </c>
      <c r="C70" s="112">
        <v>146.19999999999999</v>
      </c>
      <c r="D70" s="112">
        <v>140.69999999999999</v>
      </c>
    </row>
    <row r="71" spans="2:4" x14ac:dyDescent="0.35">
      <c r="B71" s="112" t="s">
        <v>244</v>
      </c>
      <c r="C71" s="112">
        <v>147.4</v>
      </c>
      <c r="D71" s="112">
        <v>141.1</v>
      </c>
    </row>
    <row r="72" spans="2:4" x14ac:dyDescent="0.35">
      <c r="B72" s="112" t="s">
        <v>189</v>
      </c>
      <c r="C72" s="112">
        <v>148.30000000000001</v>
      </c>
      <c r="D72" s="112">
        <v>141.69999999999999</v>
      </c>
    </row>
    <row r="73" spans="2:4" x14ac:dyDescent="0.35">
      <c r="B73" s="112" t="s">
        <v>243</v>
      </c>
      <c r="C73" s="112">
        <v>149.80000000000001</v>
      </c>
      <c r="D73" s="112">
        <v>142.6</v>
      </c>
    </row>
    <row r="74" spans="2:4" x14ac:dyDescent="0.35">
      <c r="B74" s="112" t="s">
        <v>242</v>
      </c>
      <c r="C74" s="112">
        <v>150.69999999999999</v>
      </c>
      <c r="D74" s="112">
        <v>143.4</v>
      </c>
    </row>
    <row r="75" spans="2:4" x14ac:dyDescent="0.35">
      <c r="B75" s="112" t="s">
        <v>241</v>
      </c>
      <c r="C75" s="112">
        <v>151</v>
      </c>
      <c r="D75" s="112">
        <v>144.4</v>
      </c>
    </row>
    <row r="76" spans="2:4" x14ac:dyDescent="0.35">
      <c r="B76" s="112" t="s">
        <v>188</v>
      </c>
      <c r="C76" s="112">
        <v>151.4</v>
      </c>
      <c r="D76" s="112">
        <v>144.6</v>
      </c>
    </row>
    <row r="77" spans="2:4" x14ac:dyDescent="0.35">
      <c r="B77" s="112" t="s">
        <v>240</v>
      </c>
      <c r="C77" s="112">
        <v>151.4</v>
      </c>
      <c r="D77" s="112">
        <v>144.80000000000001</v>
      </c>
    </row>
    <row r="78" spans="2:4" x14ac:dyDescent="0.35">
      <c r="B78" s="112" t="s">
        <v>239</v>
      </c>
      <c r="C78" s="112">
        <v>152.1</v>
      </c>
      <c r="D78" s="112">
        <v>145.6</v>
      </c>
    </row>
    <row r="79" spans="2:4" x14ac:dyDescent="0.35">
      <c r="B79" s="112" t="s">
        <v>238</v>
      </c>
      <c r="C79" s="112">
        <v>152.30000000000001</v>
      </c>
      <c r="D79" s="112">
        <v>145.69999999999999</v>
      </c>
    </row>
    <row r="80" spans="2:4" x14ac:dyDescent="0.35">
      <c r="B80" s="112" t="s">
        <v>187</v>
      </c>
      <c r="C80" s="112">
        <v>152.5</v>
      </c>
      <c r="D80" s="112">
        <v>145.80000000000001</v>
      </c>
    </row>
    <row r="81" spans="2:4" x14ac:dyDescent="0.35">
      <c r="B81" s="112" t="s">
        <v>237</v>
      </c>
      <c r="C81" s="112">
        <v>153.30000000000001</v>
      </c>
      <c r="D81" s="112">
        <v>146.6</v>
      </c>
    </row>
    <row r="82" spans="2:4" x14ac:dyDescent="0.35">
      <c r="B82" s="112" t="s">
        <v>236</v>
      </c>
      <c r="C82" s="112">
        <v>154.19999999999999</v>
      </c>
      <c r="D82" s="112">
        <v>148.4</v>
      </c>
    </row>
    <row r="83" spans="2:4" x14ac:dyDescent="0.35">
      <c r="B83" s="112" t="s">
        <v>235</v>
      </c>
      <c r="C83" s="112">
        <v>154.5</v>
      </c>
      <c r="D83" s="112">
        <v>148.69999999999999</v>
      </c>
    </row>
    <row r="84" spans="2:4" x14ac:dyDescent="0.35">
      <c r="B84" s="112" t="s">
        <v>186</v>
      </c>
      <c r="C84" s="112">
        <v>154.69999999999999</v>
      </c>
      <c r="D84" s="112">
        <v>148.69999999999999</v>
      </c>
    </row>
    <row r="85" spans="2:4" x14ac:dyDescent="0.35">
      <c r="B85" s="112" t="s">
        <v>234</v>
      </c>
      <c r="C85" s="112">
        <v>155.19999999999999</v>
      </c>
      <c r="D85" s="112">
        <v>149.19999999999999</v>
      </c>
    </row>
    <row r="86" spans="2:4" x14ac:dyDescent="0.35">
      <c r="B86" s="112" t="s">
        <v>233</v>
      </c>
      <c r="C86" s="112">
        <v>155.9</v>
      </c>
      <c r="D86" s="112">
        <v>150.19999999999999</v>
      </c>
    </row>
    <row r="87" spans="2:4" x14ac:dyDescent="0.35">
      <c r="B87" s="112" t="s">
        <v>232</v>
      </c>
      <c r="C87" s="112">
        <v>155.30000000000001</v>
      </c>
      <c r="D87" s="112">
        <v>150.6</v>
      </c>
    </row>
    <row r="88" spans="2:4" x14ac:dyDescent="0.35">
      <c r="B88" s="112" t="s">
        <v>185</v>
      </c>
      <c r="C88" s="112">
        <v>155.80000000000001</v>
      </c>
      <c r="D88" s="112">
        <v>151.1</v>
      </c>
    </row>
    <row r="89" spans="2:4" x14ac:dyDescent="0.35">
      <c r="B89" s="112" t="s">
        <v>231</v>
      </c>
      <c r="C89" s="112">
        <v>156</v>
      </c>
      <c r="D89" s="112">
        <v>150.80000000000001</v>
      </c>
    </row>
    <row r="90" spans="2:4" x14ac:dyDescent="0.35">
      <c r="B90" s="112" t="s">
        <v>230</v>
      </c>
      <c r="C90" s="112">
        <v>156.69999999999999</v>
      </c>
      <c r="D90" s="112">
        <v>151.6</v>
      </c>
    </row>
    <row r="91" spans="2:4" x14ac:dyDescent="0.35">
      <c r="B91" s="112" t="s">
        <v>229</v>
      </c>
      <c r="C91" s="112">
        <v>157.30000000000001</v>
      </c>
      <c r="D91" s="112">
        <v>151.6</v>
      </c>
    </row>
    <row r="92" spans="2:4" x14ac:dyDescent="0.35">
      <c r="B92" s="112" t="s">
        <v>184</v>
      </c>
      <c r="C92" s="112">
        <v>158.30000000000001</v>
      </c>
      <c r="D92" s="112">
        <v>151.6</v>
      </c>
    </row>
    <row r="93" spans="2:4" x14ac:dyDescent="0.35">
      <c r="B93" s="112" t="s">
        <v>228</v>
      </c>
      <c r="C93" s="112">
        <v>159.69999999999999</v>
      </c>
      <c r="D93" s="112">
        <v>152.4</v>
      </c>
    </row>
    <row r="94" spans="2:4" x14ac:dyDescent="0.35">
      <c r="B94" s="112" t="s">
        <v>227</v>
      </c>
      <c r="C94" s="112">
        <v>160.9</v>
      </c>
      <c r="D94" s="112">
        <v>153.5</v>
      </c>
    </row>
    <row r="95" spans="2:4" x14ac:dyDescent="0.35">
      <c r="B95" s="112" t="s">
        <v>226</v>
      </c>
      <c r="C95" s="112">
        <v>161.9</v>
      </c>
      <c r="D95" s="112">
        <v>154.9</v>
      </c>
    </row>
    <row r="96" spans="2:4" x14ac:dyDescent="0.35">
      <c r="B96" s="112" t="s">
        <v>183</v>
      </c>
      <c r="C96" s="112">
        <v>163.19999999999999</v>
      </c>
      <c r="D96" s="112">
        <v>156.1</v>
      </c>
    </row>
    <row r="99" spans="1:2" x14ac:dyDescent="0.35">
      <c r="A99" s="112" t="s">
        <v>225</v>
      </c>
    </row>
    <row r="100" spans="1:2" x14ac:dyDescent="0.35">
      <c r="A100" s="112">
        <v>1</v>
      </c>
      <c r="B100" s="112" t="s">
        <v>224</v>
      </c>
    </row>
    <row r="101" spans="1:2" x14ac:dyDescent="0.35">
      <c r="A101" s="112">
        <v>2</v>
      </c>
      <c r="B101" s="112" t="s">
        <v>223</v>
      </c>
    </row>
    <row r="102" spans="1:2" x14ac:dyDescent="0.35">
      <c r="A102" s="112">
        <v>3</v>
      </c>
      <c r="B102" s="112" t="s">
        <v>222</v>
      </c>
    </row>
    <row r="103" spans="1:2" x14ac:dyDescent="0.35">
      <c r="A103" s="112">
        <v>4</v>
      </c>
      <c r="B103" s="112" t="s">
        <v>221</v>
      </c>
    </row>
    <row r="104" spans="1:2" x14ac:dyDescent="0.35">
      <c r="A104" s="112">
        <v>5</v>
      </c>
      <c r="B104" s="112" t="s">
        <v>220</v>
      </c>
    </row>
    <row r="105" spans="1:2" x14ac:dyDescent="0.35">
      <c r="A105" s="112">
        <v>6</v>
      </c>
      <c r="B105" s="112" t="s">
        <v>219</v>
      </c>
    </row>
    <row r="106" spans="1:2" x14ac:dyDescent="0.35">
      <c r="A106" s="112">
        <v>7</v>
      </c>
      <c r="B106" s="112" t="s">
        <v>218</v>
      </c>
    </row>
    <row r="108" spans="1:2" x14ac:dyDescent="0.35">
      <c r="A108" s="112" t="s">
        <v>217</v>
      </c>
    </row>
    <row r="109" spans="1:2" x14ac:dyDescent="0.35">
      <c r="A109" s="112" t="s">
        <v>216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3"/>
  <sheetViews>
    <sheetView workbookViewId="0">
      <selection sqref="A1:A2"/>
    </sheetView>
  </sheetViews>
  <sheetFormatPr defaultRowHeight="12.5" x14ac:dyDescent="0.25"/>
  <cols>
    <col min="1" max="1" width="10.54296875" bestFit="1" customWidth="1"/>
    <col min="2" max="2" width="55.81640625" bestFit="1" customWidth="1"/>
    <col min="3" max="3" width="60.1796875" bestFit="1" customWidth="1"/>
    <col min="4" max="4" width="37.54296875" bestFit="1" customWidth="1"/>
    <col min="5" max="6" width="11.81640625" bestFit="1" customWidth="1"/>
    <col min="7" max="7" width="13.1796875" bestFit="1" customWidth="1"/>
    <col min="8" max="8" width="15.54296875" bestFit="1" customWidth="1"/>
    <col min="9" max="9" width="21.54296875" bestFit="1" customWidth="1"/>
    <col min="10" max="10" width="26.1796875" bestFit="1" customWidth="1"/>
    <col min="11" max="11" width="21.1796875" bestFit="1" customWidth="1"/>
    <col min="12" max="12" width="17.26953125" bestFit="1" customWidth="1"/>
    <col min="13" max="13" width="21.1796875" bestFit="1" customWidth="1"/>
    <col min="14" max="14" width="12" bestFit="1" customWidth="1"/>
    <col min="15" max="15" width="29.7265625" bestFit="1" customWidth="1"/>
    <col min="16" max="16" width="22.1796875" bestFit="1" customWidth="1"/>
    <col min="17" max="17" width="118.1796875" bestFit="1" customWidth="1"/>
    <col min="18" max="28" width="11.54296875" bestFit="1" customWidth="1"/>
  </cols>
  <sheetData>
    <row r="1" spans="1:28" x14ac:dyDescent="0.25">
      <c r="A1" t="s">
        <v>657</v>
      </c>
      <c r="B1" t="s">
        <v>658</v>
      </c>
      <c r="C1" t="s">
        <v>659</v>
      </c>
      <c r="D1" t="s">
        <v>660</v>
      </c>
      <c r="E1" t="s">
        <v>661</v>
      </c>
      <c r="F1" t="s">
        <v>662</v>
      </c>
      <c r="G1" t="s">
        <v>663</v>
      </c>
      <c r="H1" t="s">
        <v>664</v>
      </c>
      <c r="I1" t="s">
        <v>665</v>
      </c>
      <c r="J1" t="s">
        <v>666</v>
      </c>
      <c r="K1" t="s">
        <v>667</v>
      </c>
      <c r="L1" t="s">
        <v>668</v>
      </c>
      <c r="M1" t="s">
        <v>669</v>
      </c>
      <c r="N1" t="s">
        <v>670</v>
      </c>
      <c r="O1" t="s">
        <v>671</v>
      </c>
      <c r="P1" t="s">
        <v>672</v>
      </c>
      <c r="Q1" t="s">
        <v>673</v>
      </c>
      <c r="R1" t="s">
        <v>674</v>
      </c>
      <c r="S1" t="s">
        <v>678</v>
      </c>
      <c r="T1" t="s">
        <v>679</v>
      </c>
      <c r="U1" t="s">
        <v>680</v>
      </c>
      <c r="V1" t="s">
        <v>681</v>
      </c>
      <c r="W1" t="s">
        <v>682</v>
      </c>
      <c r="X1" t="s">
        <v>683</v>
      </c>
      <c r="Y1" t="s">
        <v>684</v>
      </c>
      <c r="Z1" t="s">
        <v>685</v>
      </c>
      <c r="AA1" t="s">
        <v>686</v>
      </c>
      <c r="AB1" t="s">
        <v>687</v>
      </c>
    </row>
    <row r="2" spans="1:28" x14ac:dyDescent="0.25">
      <c r="B2" t="s">
        <v>32</v>
      </c>
    </row>
    <row r="4" spans="1:28" x14ac:dyDescent="0.25">
      <c r="B4" t="s">
        <v>688</v>
      </c>
      <c r="C4">
        <v>279597000</v>
      </c>
    </row>
    <row r="5" spans="1:28" x14ac:dyDescent="0.25">
      <c r="B5" t="s">
        <v>689</v>
      </c>
      <c r="C5">
        <v>257875000</v>
      </c>
    </row>
    <row r="6" spans="1:28" x14ac:dyDescent="0.25">
      <c r="B6" t="s">
        <v>690</v>
      </c>
      <c r="C6">
        <v>0</v>
      </c>
    </row>
    <row r="7" spans="1:28" x14ac:dyDescent="0.25">
      <c r="B7" t="s">
        <v>691</v>
      </c>
      <c r="C7">
        <v>145167102.37048817</v>
      </c>
    </row>
    <row r="8" spans="1:28" x14ac:dyDescent="0.25">
      <c r="B8" t="s">
        <v>692</v>
      </c>
      <c r="C8">
        <v>20147518.544466533</v>
      </c>
    </row>
    <row r="9" spans="1:28" x14ac:dyDescent="0.25">
      <c r="B9" t="s">
        <v>693</v>
      </c>
      <c r="C9">
        <v>92560379.085045308</v>
      </c>
    </row>
    <row r="11" spans="1:28" x14ac:dyDescent="0.25">
      <c r="B11" t="s">
        <v>694</v>
      </c>
      <c r="C11">
        <v>192315</v>
      </c>
    </row>
    <row r="12" spans="1:28" x14ac:dyDescent="0.25">
      <c r="B12" t="s">
        <v>695</v>
      </c>
      <c r="C12">
        <v>119409</v>
      </c>
    </row>
    <row r="13" spans="1:28" x14ac:dyDescent="0.25">
      <c r="B13" t="s">
        <v>696</v>
      </c>
      <c r="C13">
        <v>0.62090320567818424</v>
      </c>
    </row>
    <row r="14" spans="1:28" x14ac:dyDescent="0.25">
      <c r="B14" t="s">
        <v>697</v>
      </c>
      <c r="C14">
        <v>72906</v>
      </c>
    </row>
    <row r="15" spans="1:28" x14ac:dyDescent="0.25">
      <c r="B15" t="s">
        <v>698</v>
      </c>
      <c r="C15">
        <v>0.37909679432181576</v>
      </c>
    </row>
    <row r="17" spans="1:17" x14ac:dyDescent="0.25">
      <c r="B17" t="s">
        <v>699</v>
      </c>
      <c r="C17">
        <v>57471036.092692591</v>
      </c>
    </row>
    <row r="18" spans="1:17" x14ac:dyDescent="0.25">
      <c r="B18" t="s">
        <v>462</v>
      </c>
      <c r="C18">
        <v>35089342.992352717</v>
      </c>
    </row>
    <row r="21" spans="1:17" x14ac:dyDescent="0.25">
      <c r="L21" t="s">
        <v>700</v>
      </c>
    </row>
    <row r="22" spans="1:17" x14ac:dyDescent="0.25">
      <c r="L22">
        <v>0.62090320567818424</v>
      </c>
      <c r="M22">
        <v>0.37909679432181576</v>
      </c>
    </row>
    <row r="23" spans="1:17" x14ac:dyDescent="0.25">
      <c r="A23" t="s">
        <v>586</v>
      </c>
      <c r="B23" t="s">
        <v>587</v>
      </c>
      <c r="C23" t="s">
        <v>316</v>
      </c>
      <c r="D23" t="s">
        <v>588</v>
      </c>
      <c r="E23" t="s">
        <v>591</v>
      </c>
      <c r="F23" t="s">
        <v>592</v>
      </c>
      <c r="G23" t="s">
        <v>593</v>
      </c>
      <c r="H23" t="s">
        <v>594</v>
      </c>
      <c r="I23" t="s">
        <v>595</v>
      </c>
      <c r="J23" t="s">
        <v>596</v>
      </c>
      <c r="K23" t="s">
        <v>597</v>
      </c>
      <c r="L23" t="s">
        <v>598</v>
      </c>
      <c r="M23" t="s">
        <v>599</v>
      </c>
      <c r="N23" t="s">
        <v>582</v>
      </c>
      <c r="O23" t="s">
        <v>600</v>
      </c>
      <c r="P23" t="s">
        <v>601</v>
      </c>
      <c r="Q23" t="s">
        <v>602</v>
      </c>
    </row>
    <row r="24" spans="1:17" x14ac:dyDescent="0.25">
      <c r="A24" t="s">
        <v>490</v>
      </c>
      <c r="B24" t="s">
        <v>491</v>
      </c>
      <c r="C24" t="s">
        <v>492</v>
      </c>
      <c r="D24">
        <v>3841000</v>
      </c>
      <c r="E24">
        <v>0.75</v>
      </c>
      <c r="F24">
        <v>0.25</v>
      </c>
      <c r="G24">
        <v>960250</v>
      </c>
      <c r="H24">
        <v>2880750</v>
      </c>
      <c r="I24">
        <v>0.17875871139655641</v>
      </c>
      <c r="J24">
        <v>514959.15785562986</v>
      </c>
      <c r="K24">
        <v>2365790.8421443701</v>
      </c>
      <c r="L24">
        <v>1468927.1178515304</v>
      </c>
      <c r="M24">
        <v>896863.72429283953</v>
      </c>
      <c r="N24" t="s">
        <v>309</v>
      </c>
      <c r="O24" t="s">
        <v>603</v>
      </c>
      <c r="P24" t="s">
        <v>604</v>
      </c>
      <c r="Q24" t="s">
        <v>605</v>
      </c>
    </row>
    <row r="25" spans="1:17" x14ac:dyDescent="0.25">
      <c r="A25" t="s">
        <v>493</v>
      </c>
      <c r="B25" t="s">
        <v>494</v>
      </c>
      <c r="C25" t="s">
        <v>492</v>
      </c>
      <c r="D25">
        <v>2650000</v>
      </c>
      <c r="E25">
        <v>0.75</v>
      </c>
      <c r="F25">
        <v>0.25</v>
      </c>
      <c r="G25">
        <v>662500</v>
      </c>
      <c r="H25">
        <v>1987500</v>
      </c>
      <c r="I25">
        <v>0.17875871139655641</v>
      </c>
      <c r="J25">
        <v>355282.93890065589</v>
      </c>
      <c r="K25">
        <v>1632217.0610993442</v>
      </c>
      <c r="L25">
        <v>1013448.8055992076</v>
      </c>
      <c r="M25">
        <v>618768.25550013664</v>
      </c>
      <c r="N25" t="s">
        <v>309</v>
      </c>
      <c r="O25" t="s">
        <v>603</v>
      </c>
      <c r="P25" t="s">
        <v>604</v>
      </c>
      <c r="Q25" t="s">
        <v>606</v>
      </c>
    </row>
    <row r="26" spans="1:17" x14ac:dyDescent="0.25">
      <c r="A26" t="s">
        <v>564</v>
      </c>
      <c r="B26" t="s">
        <v>565</v>
      </c>
      <c r="C26" t="s">
        <v>492</v>
      </c>
      <c r="D26">
        <v>2702000</v>
      </c>
      <c r="E26">
        <v>0.75</v>
      </c>
      <c r="F26">
        <v>0.25</v>
      </c>
      <c r="G26">
        <v>675500</v>
      </c>
      <c r="H26">
        <v>2026500</v>
      </c>
      <c r="I26">
        <v>0.17875871139655641</v>
      </c>
      <c r="J26">
        <v>362254.52864512149</v>
      </c>
      <c r="K26">
        <v>1664245.4713548785</v>
      </c>
      <c r="L26">
        <v>1033335.3481996448</v>
      </c>
      <c r="M26">
        <v>630910.12315523368</v>
      </c>
      <c r="N26" t="s">
        <v>312</v>
      </c>
      <c r="O26" t="s">
        <v>603</v>
      </c>
      <c r="P26" t="s">
        <v>604</v>
      </c>
      <c r="Q26" t="s">
        <v>607</v>
      </c>
    </row>
    <row r="27" spans="1:17" x14ac:dyDescent="0.25">
      <c r="A27" t="s">
        <v>566</v>
      </c>
      <c r="B27" t="s">
        <v>567</v>
      </c>
      <c r="C27" t="s">
        <v>492</v>
      </c>
      <c r="D27">
        <v>2916000</v>
      </c>
      <c r="E27">
        <v>0.75</v>
      </c>
      <c r="F27">
        <v>0.25</v>
      </c>
      <c r="G27">
        <v>729000</v>
      </c>
      <c r="H27">
        <v>2187000</v>
      </c>
      <c r="I27">
        <v>0.17875871139655641</v>
      </c>
      <c r="J27">
        <v>390945.30182426888</v>
      </c>
      <c r="K27">
        <v>1796054.6981757311</v>
      </c>
      <c r="L27">
        <v>1115176.1196706751</v>
      </c>
      <c r="M27">
        <v>680878.57850505598</v>
      </c>
      <c r="N27" t="s">
        <v>312</v>
      </c>
      <c r="O27" t="s">
        <v>603</v>
      </c>
      <c r="P27" t="s">
        <v>604</v>
      </c>
      <c r="Q27" t="s">
        <v>607</v>
      </c>
    </row>
    <row r="28" spans="1:17" x14ac:dyDescent="0.25">
      <c r="A28" t="s">
        <v>568</v>
      </c>
      <c r="B28" t="s">
        <v>569</v>
      </c>
      <c r="C28" t="s">
        <v>492</v>
      </c>
      <c r="D28">
        <v>1258000</v>
      </c>
      <c r="E28">
        <v>0.75</v>
      </c>
      <c r="F28">
        <v>0.25</v>
      </c>
      <c r="G28">
        <v>314500</v>
      </c>
      <c r="H28">
        <v>943500</v>
      </c>
      <c r="I28">
        <v>0.17875871139655641</v>
      </c>
      <c r="J28">
        <v>168658.84420265097</v>
      </c>
      <c r="K28">
        <v>774841.15579734917</v>
      </c>
      <c r="L28">
        <v>481101.35752596334</v>
      </c>
      <c r="M28">
        <v>293739.79827138566</v>
      </c>
      <c r="N28" t="s">
        <v>312</v>
      </c>
      <c r="O28" t="s">
        <v>603</v>
      </c>
      <c r="P28" t="s">
        <v>604</v>
      </c>
      <c r="Q28" t="s">
        <v>608</v>
      </c>
    </row>
    <row r="29" spans="1:17" x14ac:dyDescent="0.25">
      <c r="A29" t="s">
        <v>526</v>
      </c>
      <c r="B29" t="s">
        <v>527</v>
      </c>
      <c r="C29" t="s">
        <v>492</v>
      </c>
      <c r="D29">
        <v>17312000</v>
      </c>
      <c r="E29">
        <v>0</v>
      </c>
      <c r="F29">
        <v>1</v>
      </c>
      <c r="G29">
        <v>17312000</v>
      </c>
      <c r="H29">
        <v>0</v>
      </c>
      <c r="I29">
        <v>0</v>
      </c>
      <c r="J29">
        <v>0</v>
      </c>
      <c r="K29">
        <v>0</v>
      </c>
      <c r="L29">
        <v>0</v>
      </c>
      <c r="M29">
        <v>0</v>
      </c>
      <c r="N29" t="s">
        <v>310</v>
      </c>
      <c r="O29" t="s">
        <v>603</v>
      </c>
      <c r="P29" t="s">
        <v>604</v>
      </c>
      <c r="Q29" t="s">
        <v>609</v>
      </c>
    </row>
    <row r="30" spans="1:17" x14ac:dyDescent="0.25">
      <c r="A30" t="s">
        <v>495</v>
      </c>
      <c r="B30" t="s">
        <v>496</v>
      </c>
      <c r="C30" t="s">
        <v>492</v>
      </c>
      <c r="D30">
        <v>4319000</v>
      </c>
      <c r="E30">
        <v>0.75</v>
      </c>
      <c r="F30">
        <v>0.25</v>
      </c>
      <c r="G30">
        <v>1079750</v>
      </c>
      <c r="H30">
        <v>3239250</v>
      </c>
      <c r="I30">
        <v>0.17875871139655641</v>
      </c>
      <c r="J30">
        <v>579044.15589129541</v>
      </c>
      <c r="K30">
        <v>2660205.8441087045</v>
      </c>
      <c r="L30">
        <v>1651730.3363709347</v>
      </c>
      <c r="M30">
        <v>1008475.50773777</v>
      </c>
      <c r="N30" t="s">
        <v>309</v>
      </c>
      <c r="O30" t="s">
        <v>603</v>
      </c>
      <c r="P30" t="s">
        <v>604</v>
      </c>
      <c r="Q30" t="s">
        <v>610</v>
      </c>
    </row>
    <row r="31" spans="1:17" x14ac:dyDescent="0.25">
      <c r="A31" t="s">
        <v>528</v>
      </c>
      <c r="B31" t="s">
        <v>529</v>
      </c>
      <c r="C31" t="s">
        <v>492</v>
      </c>
      <c r="D31">
        <v>1315000</v>
      </c>
      <c r="E31">
        <v>0.75</v>
      </c>
      <c r="F31">
        <v>0.25</v>
      </c>
      <c r="G31">
        <v>328750</v>
      </c>
      <c r="H31">
        <v>986250</v>
      </c>
      <c r="I31">
        <v>0.17875871139655641</v>
      </c>
      <c r="J31">
        <v>176300.77911485377</v>
      </c>
      <c r="K31">
        <v>809949.22088514629</v>
      </c>
      <c r="L31">
        <v>502900.06768413493</v>
      </c>
      <c r="M31">
        <v>307049.15320101118</v>
      </c>
      <c r="N31" t="s">
        <v>310</v>
      </c>
      <c r="O31" t="s">
        <v>603</v>
      </c>
      <c r="P31" t="s">
        <v>604</v>
      </c>
      <c r="Q31" t="s">
        <v>610</v>
      </c>
    </row>
    <row r="32" spans="1:17" x14ac:dyDescent="0.25">
      <c r="A32" t="s">
        <v>530</v>
      </c>
      <c r="B32" t="s">
        <v>531</v>
      </c>
      <c r="C32" t="s">
        <v>492</v>
      </c>
      <c r="D32">
        <v>956000</v>
      </c>
      <c r="E32">
        <v>0.75</v>
      </c>
      <c r="F32">
        <v>0.25</v>
      </c>
      <c r="G32">
        <v>239000</v>
      </c>
      <c r="H32">
        <v>717000</v>
      </c>
      <c r="I32">
        <v>0.17875871139655641</v>
      </c>
      <c r="J32">
        <v>128169.99607133096</v>
      </c>
      <c r="K32">
        <v>588830.00392866903</v>
      </c>
      <c r="L32">
        <v>365606.43703880842</v>
      </c>
      <c r="M32">
        <v>223223.56688986061</v>
      </c>
      <c r="N32" t="s">
        <v>310</v>
      </c>
      <c r="O32" t="s">
        <v>603</v>
      </c>
      <c r="P32" t="s">
        <v>604</v>
      </c>
      <c r="Q32" t="s">
        <v>610</v>
      </c>
    </row>
    <row r="33" spans="1:17" x14ac:dyDescent="0.25">
      <c r="A33" t="s">
        <v>532</v>
      </c>
      <c r="B33" t="s">
        <v>533</v>
      </c>
      <c r="C33" t="s">
        <v>492</v>
      </c>
      <c r="D33">
        <v>1168000</v>
      </c>
      <c r="E33">
        <v>0.75</v>
      </c>
      <c r="F33">
        <v>0.25</v>
      </c>
      <c r="G33">
        <v>292000</v>
      </c>
      <c r="H33">
        <v>876000</v>
      </c>
      <c r="I33">
        <v>0.17875871139655641</v>
      </c>
      <c r="J33">
        <v>156592.6311833834</v>
      </c>
      <c r="K33">
        <v>719407.3688166166</v>
      </c>
      <c r="L33">
        <v>446682.34148674505</v>
      </c>
      <c r="M33">
        <v>272725.02732987155</v>
      </c>
      <c r="N33" t="s">
        <v>310</v>
      </c>
      <c r="O33" t="s">
        <v>603</v>
      </c>
      <c r="P33" t="s">
        <v>604</v>
      </c>
      <c r="Q33" t="s">
        <v>610</v>
      </c>
    </row>
    <row r="34" spans="1:17" x14ac:dyDescent="0.25">
      <c r="A34" t="s">
        <v>534</v>
      </c>
      <c r="B34" t="s">
        <v>535</v>
      </c>
      <c r="C34" t="s">
        <v>492</v>
      </c>
      <c r="D34">
        <v>1004000</v>
      </c>
      <c r="E34">
        <v>0.75</v>
      </c>
      <c r="F34">
        <v>0.25</v>
      </c>
      <c r="G34">
        <v>251000</v>
      </c>
      <c r="H34">
        <v>753000</v>
      </c>
      <c r="I34">
        <v>0.17875871139655641</v>
      </c>
      <c r="J34">
        <v>134605.30968160697</v>
      </c>
      <c r="K34">
        <v>618394.69031839306</v>
      </c>
      <c r="L34">
        <v>383963.24559305824</v>
      </c>
      <c r="M34">
        <v>234431.44472533479</v>
      </c>
      <c r="N34" t="s">
        <v>310</v>
      </c>
      <c r="O34" t="s">
        <v>603</v>
      </c>
      <c r="P34" t="s">
        <v>604</v>
      </c>
      <c r="Q34" t="s">
        <v>610</v>
      </c>
    </row>
    <row r="35" spans="1:17" x14ac:dyDescent="0.25">
      <c r="A35" t="s">
        <v>497</v>
      </c>
      <c r="B35" t="s">
        <v>498</v>
      </c>
      <c r="C35" t="s">
        <v>465</v>
      </c>
      <c r="D35">
        <v>2249000</v>
      </c>
      <c r="E35">
        <v>0</v>
      </c>
      <c r="F35">
        <v>1</v>
      </c>
      <c r="G35">
        <v>2249000</v>
      </c>
      <c r="H35">
        <v>0</v>
      </c>
      <c r="I35">
        <v>0</v>
      </c>
      <c r="J35">
        <v>0</v>
      </c>
      <c r="K35">
        <v>0</v>
      </c>
      <c r="L35">
        <v>0</v>
      </c>
      <c r="M35">
        <v>0</v>
      </c>
      <c r="N35" t="s">
        <v>309</v>
      </c>
      <c r="O35" t="s">
        <v>603</v>
      </c>
      <c r="P35" t="s">
        <v>604</v>
      </c>
      <c r="Q35" t="s">
        <v>611</v>
      </c>
    </row>
    <row r="36" spans="1:17" x14ac:dyDescent="0.25">
      <c r="A36" t="s">
        <v>612</v>
      </c>
      <c r="B36" t="s">
        <v>613</v>
      </c>
      <c r="C36" t="s">
        <v>465</v>
      </c>
      <c r="D36">
        <v>2328000</v>
      </c>
      <c r="E36">
        <v>0</v>
      </c>
      <c r="F36">
        <v>1</v>
      </c>
      <c r="G36">
        <v>2328000</v>
      </c>
      <c r="H36">
        <v>0</v>
      </c>
      <c r="I36">
        <v>0</v>
      </c>
      <c r="J36">
        <v>0</v>
      </c>
      <c r="K36">
        <v>0</v>
      </c>
      <c r="L36">
        <v>0</v>
      </c>
      <c r="M36">
        <v>0</v>
      </c>
      <c r="N36" t="s">
        <v>583</v>
      </c>
      <c r="O36" t="s">
        <v>614</v>
      </c>
      <c r="P36" t="s">
        <v>604</v>
      </c>
      <c r="Q36" t="s">
        <v>611</v>
      </c>
    </row>
    <row r="37" spans="1:17" x14ac:dyDescent="0.25">
      <c r="A37" t="s">
        <v>615</v>
      </c>
      <c r="B37" t="s">
        <v>616</v>
      </c>
      <c r="C37" t="s">
        <v>465</v>
      </c>
      <c r="D37">
        <v>447000</v>
      </c>
      <c r="E37">
        <v>0</v>
      </c>
      <c r="F37">
        <v>1</v>
      </c>
      <c r="G37">
        <v>447000</v>
      </c>
      <c r="H37">
        <v>0</v>
      </c>
      <c r="I37">
        <v>0</v>
      </c>
      <c r="J37">
        <v>0</v>
      </c>
      <c r="K37">
        <v>0</v>
      </c>
      <c r="L37">
        <v>0</v>
      </c>
      <c r="M37">
        <v>0</v>
      </c>
      <c r="N37" t="s">
        <v>583</v>
      </c>
      <c r="O37" t="s">
        <v>614</v>
      </c>
      <c r="P37" t="s">
        <v>604</v>
      </c>
      <c r="Q37" t="s">
        <v>611</v>
      </c>
    </row>
    <row r="38" spans="1:17" x14ac:dyDescent="0.25">
      <c r="A38" t="s">
        <v>499</v>
      </c>
      <c r="B38" t="s">
        <v>500</v>
      </c>
      <c r="C38" t="s">
        <v>465</v>
      </c>
      <c r="D38">
        <v>236000</v>
      </c>
      <c r="E38">
        <v>0</v>
      </c>
      <c r="F38">
        <v>1</v>
      </c>
      <c r="G38">
        <v>236000</v>
      </c>
      <c r="H38">
        <v>0</v>
      </c>
      <c r="I38">
        <v>0</v>
      </c>
      <c r="J38">
        <v>0</v>
      </c>
      <c r="K38">
        <v>0</v>
      </c>
      <c r="L38">
        <v>0</v>
      </c>
      <c r="M38">
        <v>0</v>
      </c>
      <c r="N38" t="s">
        <v>309</v>
      </c>
      <c r="O38" t="s">
        <v>603</v>
      </c>
      <c r="P38" t="s">
        <v>604</v>
      </c>
      <c r="Q38" t="s">
        <v>617</v>
      </c>
    </row>
    <row r="39" spans="1:17" x14ac:dyDescent="0.25">
      <c r="A39" t="s">
        <v>618</v>
      </c>
      <c r="B39" t="s">
        <v>619</v>
      </c>
      <c r="C39" t="s">
        <v>465</v>
      </c>
      <c r="D39">
        <v>2002000</v>
      </c>
      <c r="E39">
        <v>0</v>
      </c>
      <c r="F39">
        <v>1</v>
      </c>
      <c r="G39">
        <v>2002000</v>
      </c>
      <c r="H39">
        <v>0</v>
      </c>
      <c r="I39">
        <v>0</v>
      </c>
      <c r="J39">
        <v>0</v>
      </c>
      <c r="K39">
        <v>0</v>
      </c>
      <c r="L39">
        <v>0</v>
      </c>
      <c r="M39">
        <v>0</v>
      </c>
      <c r="N39" t="s">
        <v>583</v>
      </c>
      <c r="O39" t="s">
        <v>614</v>
      </c>
      <c r="P39" t="s">
        <v>604</v>
      </c>
      <c r="Q39" t="s">
        <v>609</v>
      </c>
    </row>
    <row r="40" spans="1:17" x14ac:dyDescent="0.25">
      <c r="A40" t="s">
        <v>501</v>
      </c>
      <c r="B40" t="s">
        <v>502</v>
      </c>
      <c r="C40" t="s">
        <v>465</v>
      </c>
      <c r="D40">
        <v>277000</v>
      </c>
      <c r="E40">
        <v>0</v>
      </c>
      <c r="F40">
        <v>1</v>
      </c>
      <c r="G40">
        <v>277000</v>
      </c>
      <c r="H40">
        <v>0</v>
      </c>
      <c r="I40">
        <v>0</v>
      </c>
      <c r="J40">
        <v>0</v>
      </c>
      <c r="K40">
        <v>0</v>
      </c>
      <c r="L40">
        <v>0</v>
      </c>
      <c r="M40">
        <v>0</v>
      </c>
      <c r="N40" t="s">
        <v>309</v>
      </c>
      <c r="O40" t="s">
        <v>603</v>
      </c>
      <c r="P40" t="s">
        <v>604</v>
      </c>
      <c r="Q40" t="s">
        <v>620</v>
      </c>
    </row>
    <row r="41" spans="1:17" x14ac:dyDescent="0.25">
      <c r="A41" t="s">
        <v>463</v>
      </c>
      <c r="B41" t="s">
        <v>464</v>
      </c>
      <c r="C41" t="s">
        <v>465</v>
      </c>
      <c r="D41">
        <v>395000</v>
      </c>
      <c r="E41">
        <v>0</v>
      </c>
      <c r="F41">
        <v>1</v>
      </c>
      <c r="G41">
        <v>395000</v>
      </c>
      <c r="H41">
        <v>0</v>
      </c>
      <c r="I41">
        <v>0</v>
      </c>
      <c r="J41">
        <v>0</v>
      </c>
      <c r="K41">
        <v>0</v>
      </c>
      <c r="L41">
        <v>0</v>
      </c>
      <c r="M41">
        <v>0</v>
      </c>
      <c r="N41" t="s">
        <v>584</v>
      </c>
      <c r="O41" t="s">
        <v>603</v>
      </c>
      <c r="P41" t="s">
        <v>604</v>
      </c>
      <c r="Q41" t="s">
        <v>621</v>
      </c>
    </row>
    <row r="42" spans="1:17" x14ac:dyDescent="0.25">
      <c r="A42" t="s">
        <v>466</v>
      </c>
      <c r="B42" t="s">
        <v>467</v>
      </c>
      <c r="C42" t="s">
        <v>465</v>
      </c>
      <c r="D42">
        <v>3585000</v>
      </c>
      <c r="E42">
        <v>0</v>
      </c>
      <c r="F42">
        <v>1</v>
      </c>
      <c r="G42">
        <v>3585000</v>
      </c>
      <c r="H42">
        <v>0</v>
      </c>
      <c r="I42">
        <v>0</v>
      </c>
      <c r="J42">
        <v>0</v>
      </c>
      <c r="K42">
        <v>0</v>
      </c>
      <c r="L42">
        <v>0</v>
      </c>
      <c r="M42">
        <v>0</v>
      </c>
      <c r="N42" t="s">
        <v>584</v>
      </c>
      <c r="O42" t="s">
        <v>603</v>
      </c>
      <c r="P42" t="s">
        <v>604</v>
      </c>
      <c r="Q42" t="s">
        <v>622</v>
      </c>
    </row>
    <row r="43" spans="1:17" x14ac:dyDescent="0.25">
      <c r="A43" t="s">
        <v>623</v>
      </c>
      <c r="B43" t="s">
        <v>624</v>
      </c>
      <c r="C43" t="s">
        <v>465</v>
      </c>
      <c r="D43">
        <v>502000</v>
      </c>
      <c r="E43">
        <v>0</v>
      </c>
      <c r="F43">
        <v>1</v>
      </c>
      <c r="G43">
        <v>502000</v>
      </c>
      <c r="H43">
        <v>0</v>
      </c>
      <c r="I43">
        <v>0</v>
      </c>
      <c r="J43">
        <v>0</v>
      </c>
      <c r="K43">
        <v>0</v>
      </c>
      <c r="L43">
        <v>0</v>
      </c>
      <c r="M43">
        <v>0</v>
      </c>
      <c r="N43" t="s">
        <v>583</v>
      </c>
      <c r="O43" t="s">
        <v>614</v>
      </c>
      <c r="P43" t="s">
        <v>604</v>
      </c>
      <c r="Q43" t="s">
        <v>622</v>
      </c>
    </row>
    <row r="44" spans="1:17" x14ac:dyDescent="0.25">
      <c r="A44" t="s">
        <v>503</v>
      </c>
      <c r="B44" t="s">
        <v>504</v>
      </c>
      <c r="C44" t="s">
        <v>465</v>
      </c>
      <c r="D44">
        <v>2272000</v>
      </c>
      <c r="E44">
        <v>0</v>
      </c>
      <c r="F44">
        <v>1</v>
      </c>
      <c r="G44">
        <v>2272000</v>
      </c>
      <c r="H44">
        <v>0</v>
      </c>
      <c r="I44">
        <v>0</v>
      </c>
      <c r="J44">
        <v>0</v>
      </c>
      <c r="K44">
        <v>0</v>
      </c>
      <c r="L44">
        <v>0</v>
      </c>
      <c r="M44">
        <v>0</v>
      </c>
      <c r="N44" t="s">
        <v>309</v>
      </c>
      <c r="O44" t="s">
        <v>603</v>
      </c>
      <c r="P44" t="s">
        <v>604</v>
      </c>
      <c r="Q44" t="s">
        <v>622</v>
      </c>
    </row>
    <row r="45" spans="1:17" x14ac:dyDescent="0.25">
      <c r="A45" t="s">
        <v>468</v>
      </c>
      <c r="B45" t="s">
        <v>469</v>
      </c>
      <c r="C45" t="s">
        <v>465</v>
      </c>
      <c r="D45">
        <v>8117000</v>
      </c>
      <c r="E45">
        <v>1</v>
      </c>
      <c r="F45">
        <v>0</v>
      </c>
      <c r="G45">
        <v>0</v>
      </c>
      <c r="H45">
        <v>8117000</v>
      </c>
      <c r="I45">
        <v>0.17875871139655641</v>
      </c>
      <c r="J45">
        <v>1450984.4604058485</v>
      </c>
      <c r="K45">
        <v>6666015.5395941511</v>
      </c>
      <c r="L45">
        <v>4138950.4176345994</v>
      </c>
      <c r="M45">
        <v>2527065.1219595517</v>
      </c>
      <c r="N45" t="s">
        <v>584</v>
      </c>
      <c r="O45" t="s">
        <v>603</v>
      </c>
      <c r="P45" t="s">
        <v>604</v>
      </c>
      <c r="Q45" t="s">
        <v>625</v>
      </c>
    </row>
    <row r="46" spans="1:17" x14ac:dyDescent="0.25">
      <c r="A46" t="s">
        <v>536</v>
      </c>
      <c r="B46" t="s">
        <v>537</v>
      </c>
      <c r="C46" t="s">
        <v>465</v>
      </c>
      <c r="D46">
        <v>7994000</v>
      </c>
      <c r="E46">
        <v>1</v>
      </c>
      <c r="F46">
        <v>0</v>
      </c>
      <c r="G46">
        <v>0</v>
      </c>
      <c r="H46">
        <v>7994000</v>
      </c>
      <c r="I46">
        <v>0.17875871139655641</v>
      </c>
      <c r="J46">
        <v>1428997.1389040721</v>
      </c>
      <c r="K46">
        <v>6565002.8610959277</v>
      </c>
      <c r="L46">
        <v>4076231.3217409127</v>
      </c>
      <c r="M46">
        <v>2488771.5393550149</v>
      </c>
      <c r="N46" t="s">
        <v>310</v>
      </c>
      <c r="O46" t="s">
        <v>603</v>
      </c>
      <c r="P46" t="s">
        <v>604</v>
      </c>
      <c r="Q46" t="s">
        <v>625</v>
      </c>
    </row>
    <row r="47" spans="1:17" x14ac:dyDescent="0.25">
      <c r="A47" t="s">
        <v>538</v>
      </c>
      <c r="B47" t="s">
        <v>539</v>
      </c>
      <c r="C47" t="s">
        <v>465</v>
      </c>
      <c r="D47">
        <v>4953000</v>
      </c>
      <c r="E47">
        <v>1</v>
      </c>
      <c r="F47">
        <v>0</v>
      </c>
      <c r="G47">
        <v>0</v>
      </c>
      <c r="H47">
        <v>4953000</v>
      </c>
      <c r="I47">
        <v>0.17875871139655641</v>
      </c>
      <c r="J47">
        <v>885391.89754714386</v>
      </c>
      <c r="K47">
        <v>4067608.102452856</v>
      </c>
      <c r="L47">
        <v>2525590.9102555346</v>
      </c>
      <c r="M47">
        <v>1542017.1921973217</v>
      </c>
      <c r="N47" t="s">
        <v>310</v>
      </c>
      <c r="O47" t="s">
        <v>603</v>
      </c>
      <c r="P47" t="s">
        <v>604</v>
      </c>
      <c r="Q47" t="s">
        <v>625</v>
      </c>
    </row>
    <row r="48" spans="1:17" x14ac:dyDescent="0.25">
      <c r="A48" t="s">
        <v>540</v>
      </c>
      <c r="B48" t="s">
        <v>541</v>
      </c>
      <c r="C48" t="s">
        <v>465</v>
      </c>
      <c r="D48">
        <v>839000</v>
      </c>
      <c r="E48">
        <v>1</v>
      </c>
      <c r="F48">
        <v>0</v>
      </c>
      <c r="G48">
        <v>0</v>
      </c>
      <c r="H48">
        <v>839000</v>
      </c>
      <c r="I48">
        <v>0.17875871139655641</v>
      </c>
      <c r="J48">
        <v>149978.55886171083</v>
      </c>
      <c r="K48">
        <v>689021.44113828917</v>
      </c>
      <c r="L48">
        <v>427815.62158376607</v>
      </c>
      <c r="M48">
        <v>261205.8195545231</v>
      </c>
      <c r="N48" t="s">
        <v>310</v>
      </c>
      <c r="O48" t="s">
        <v>603</v>
      </c>
      <c r="P48" t="s">
        <v>604</v>
      </c>
      <c r="Q48" t="s">
        <v>625</v>
      </c>
    </row>
    <row r="49" spans="1:17" x14ac:dyDescent="0.25">
      <c r="A49" t="s">
        <v>542</v>
      </c>
      <c r="B49" t="s">
        <v>543</v>
      </c>
      <c r="C49" t="s">
        <v>465</v>
      </c>
      <c r="D49">
        <v>100000</v>
      </c>
      <c r="E49">
        <v>0</v>
      </c>
      <c r="F49">
        <v>1</v>
      </c>
      <c r="G49">
        <v>100000</v>
      </c>
      <c r="H49">
        <v>0</v>
      </c>
      <c r="I49">
        <v>0</v>
      </c>
      <c r="J49">
        <v>0</v>
      </c>
      <c r="K49">
        <v>0</v>
      </c>
      <c r="L49">
        <v>0</v>
      </c>
      <c r="M49">
        <v>0</v>
      </c>
      <c r="N49" t="s">
        <v>310</v>
      </c>
      <c r="O49" t="s">
        <v>603</v>
      </c>
      <c r="P49" t="s">
        <v>604</v>
      </c>
      <c r="Q49" t="s">
        <v>626</v>
      </c>
    </row>
    <row r="50" spans="1:17" x14ac:dyDescent="0.25">
      <c r="A50" t="s">
        <v>544</v>
      </c>
      <c r="B50" t="s">
        <v>545</v>
      </c>
      <c r="C50" t="s">
        <v>465</v>
      </c>
      <c r="D50">
        <v>420000</v>
      </c>
      <c r="E50">
        <v>1</v>
      </c>
      <c r="F50">
        <v>0</v>
      </c>
      <c r="G50">
        <v>0</v>
      </c>
      <c r="H50">
        <v>420000</v>
      </c>
      <c r="I50">
        <v>0.17875871139655644</v>
      </c>
      <c r="J50">
        <v>75078.6587865537</v>
      </c>
      <c r="K50">
        <v>344921.34121344629</v>
      </c>
      <c r="L50">
        <v>214162.76646624759</v>
      </c>
      <c r="M50">
        <v>130758.57474719868</v>
      </c>
      <c r="N50" t="s">
        <v>310</v>
      </c>
      <c r="O50" t="s">
        <v>603</v>
      </c>
      <c r="P50" t="s">
        <v>604</v>
      </c>
      <c r="Q50" t="s">
        <v>625</v>
      </c>
    </row>
    <row r="51" spans="1:17" x14ac:dyDescent="0.25">
      <c r="A51" t="s">
        <v>546</v>
      </c>
      <c r="B51" t="s">
        <v>547</v>
      </c>
      <c r="C51" t="s">
        <v>465</v>
      </c>
      <c r="D51">
        <v>2233000</v>
      </c>
      <c r="E51">
        <v>0.75</v>
      </c>
      <c r="F51">
        <v>0.25</v>
      </c>
      <c r="G51">
        <v>558250</v>
      </c>
      <c r="H51">
        <v>1674750</v>
      </c>
      <c r="I51">
        <v>0.17875871139655641</v>
      </c>
      <c r="J51">
        <v>299376.15191138285</v>
      </c>
      <c r="K51">
        <v>1375373.8480886172</v>
      </c>
      <c r="L51">
        <v>853974.03128416243</v>
      </c>
      <c r="M51">
        <v>521399.81680445478</v>
      </c>
      <c r="N51" t="s">
        <v>310</v>
      </c>
      <c r="O51" t="s">
        <v>603</v>
      </c>
      <c r="P51" t="s">
        <v>604</v>
      </c>
      <c r="Q51" t="s">
        <v>627</v>
      </c>
    </row>
    <row r="52" spans="1:17" x14ac:dyDescent="0.25">
      <c r="A52" t="s">
        <v>548</v>
      </c>
      <c r="B52" t="s">
        <v>549</v>
      </c>
      <c r="C52" t="s">
        <v>465</v>
      </c>
      <c r="D52">
        <v>882000</v>
      </c>
      <c r="E52">
        <v>0.75</v>
      </c>
      <c r="F52">
        <v>0.25</v>
      </c>
      <c r="G52">
        <v>220500</v>
      </c>
      <c r="H52">
        <v>661500</v>
      </c>
      <c r="I52">
        <v>0.17875871139655641</v>
      </c>
      <c r="J52">
        <v>118248.88758882206</v>
      </c>
      <c r="K52">
        <v>543251.11241117795</v>
      </c>
      <c r="L52">
        <v>337306.35718434001</v>
      </c>
      <c r="M52">
        <v>205944.75522683791</v>
      </c>
      <c r="N52" t="s">
        <v>310</v>
      </c>
      <c r="O52" t="s">
        <v>603</v>
      </c>
      <c r="P52" t="s">
        <v>604</v>
      </c>
      <c r="Q52" t="s">
        <v>627</v>
      </c>
    </row>
    <row r="53" spans="1:17" x14ac:dyDescent="0.25">
      <c r="A53" t="s">
        <v>570</v>
      </c>
      <c r="B53" t="s">
        <v>571</v>
      </c>
      <c r="C53" t="s">
        <v>465</v>
      </c>
      <c r="D53">
        <v>38000</v>
      </c>
      <c r="E53">
        <v>0</v>
      </c>
      <c r="F53">
        <v>1</v>
      </c>
      <c r="G53">
        <v>38000</v>
      </c>
      <c r="H53">
        <v>0</v>
      </c>
      <c r="I53">
        <v>0</v>
      </c>
      <c r="J53">
        <v>0</v>
      </c>
      <c r="K53">
        <v>0</v>
      </c>
      <c r="L53">
        <v>0</v>
      </c>
      <c r="M53">
        <v>0</v>
      </c>
      <c r="N53" t="s">
        <v>312</v>
      </c>
      <c r="O53" t="s">
        <v>603</v>
      </c>
      <c r="P53" t="s">
        <v>604</v>
      </c>
      <c r="Q53" t="s">
        <v>628</v>
      </c>
    </row>
    <row r="54" spans="1:17" x14ac:dyDescent="0.25">
      <c r="A54" t="s">
        <v>470</v>
      </c>
      <c r="B54" t="s">
        <v>471</v>
      </c>
      <c r="C54" t="s">
        <v>465</v>
      </c>
      <c r="D54">
        <v>6209000</v>
      </c>
      <c r="E54">
        <v>0.40605296343001263</v>
      </c>
      <c r="F54">
        <v>0.59394703656998737</v>
      </c>
      <c r="G54">
        <v>3687817.1500630514</v>
      </c>
      <c r="H54">
        <v>2521182.8499369486</v>
      </c>
      <c r="I54">
        <v>0.17875871139655641</v>
      </c>
      <c r="J54">
        <v>450683.39744982659</v>
      </c>
      <c r="K54">
        <v>2070499.452487122</v>
      </c>
      <c r="L54">
        <v>1285579.7474041793</v>
      </c>
      <c r="M54">
        <v>784919.70508294262</v>
      </c>
      <c r="N54" t="s">
        <v>584</v>
      </c>
      <c r="O54" t="s">
        <v>603</v>
      </c>
      <c r="P54" t="s">
        <v>629</v>
      </c>
      <c r="Q54" t="s">
        <v>630</v>
      </c>
    </row>
    <row r="55" spans="1:17" x14ac:dyDescent="0.25">
      <c r="A55" t="s">
        <v>505</v>
      </c>
      <c r="B55" t="s">
        <v>506</v>
      </c>
      <c r="C55" t="s">
        <v>465</v>
      </c>
      <c r="D55">
        <v>5069000</v>
      </c>
      <c r="E55">
        <v>0</v>
      </c>
      <c r="F55">
        <v>1</v>
      </c>
      <c r="G55">
        <v>5069000</v>
      </c>
      <c r="H55">
        <v>0</v>
      </c>
      <c r="I55">
        <v>0</v>
      </c>
      <c r="J55">
        <v>0</v>
      </c>
      <c r="K55">
        <v>0</v>
      </c>
      <c r="L55">
        <v>0</v>
      </c>
      <c r="M55">
        <v>0</v>
      </c>
      <c r="N55" t="s">
        <v>309</v>
      </c>
      <c r="O55" t="s">
        <v>603</v>
      </c>
      <c r="P55" t="s">
        <v>604</v>
      </c>
      <c r="Q55" t="s">
        <v>609</v>
      </c>
    </row>
    <row r="56" spans="1:17" x14ac:dyDescent="0.25">
      <c r="A56" t="s">
        <v>631</v>
      </c>
      <c r="B56" t="s">
        <v>632</v>
      </c>
      <c r="C56" t="s">
        <v>465</v>
      </c>
      <c r="D56">
        <v>9612000</v>
      </c>
      <c r="E56">
        <v>0</v>
      </c>
      <c r="F56">
        <v>1</v>
      </c>
      <c r="G56">
        <v>9612000</v>
      </c>
      <c r="H56">
        <v>0</v>
      </c>
      <c r="I56">
        <v>0</v>
      </c>
      <c r="J56">
        <v>0</v>
      </c>
      <c r="K56">
        <v>0</v>
      </c>
      <c r="L56">
        <v>0</v>
      </c>
      <c r="M56">
        <v>0</v>
      </c>
      <c r="N56" t="s">
        <v>583</v>
      </c>
      <c r="O56" t="s">
        <v>614</v>
      </c>
      <c r="P56" t="s">
        <v>604</v>
      </c>
      <c r="Q56" t="s">
        <v>609</v>
      </c>
    </row>
    <row r="57" spans="1:17" x14ac:dyDescent="0.25">
      <c r="A57" t="s">
        <v>507</v>
      </c>
      <c r="B57" t="s">
        <v>508</v>
      </c>
      <c r="C57" t="s">
        <v>509</v>
      </c>
      <c r="D57">
        <v>3512000</v>
      </c>
      <c r="E57">
        <v>0</v>
      </c>
      <c r="F57">
        <v>1</v>
      </c>
      <c r="G57">
        <v>3512000</v>
      </c>
      <c r="H57">
        <v>0</v>
      </c>
      <c r="I57">
        <v>0</v>
      </c>
      <c r="J57">
        <v>0</v>
      </c>
      <c r="K57">
        <v>0</v>
      </c>
      <c r="L57">
        <v>0</v>
      </c>
      <c r="M57">
        <v>0</v>
      </c>
      <c r="N57" t="s">
        <v>309</v>
      </c>
      <c r="O57" t="s">
        <v>603</v>
      </c>
      <c r="P57" t="s">
        <v>604</v>
      </c>
      <c r="Q57" t="s">
        <v>633</v>
      </c>
    </row>
    <row r="58" spans="1:17" x14ac:dyDescent="0.25">
      <c r="A58" t="s">
        <v>510</v>
      </c>
      <c r="B58" t="s">
        <v>511</v>
      </c>
      <c r="C58" t="s">
        <v>509</v>
      </c>
      <c r="D58">
        <v>3429000</v>
      </c>
      <c r="E58">
        <v>0</v>
      </c>
      <c r="F58">
        <v>1</v>
      </c>
      <c r="G58">
        <v>3429000</v>
      </c>
      <c r="H58">
        <v>0</v>
      </c>
      <c r="I58">
        <v>0</v>
      </c>
      <c r="J58">
        <v>0</v>
      </c>
      <c r="K58">
        <v>0</v>
      </c>
      <c r="L58">
        <v>0</v>
      </c>
      <c r="M58">
        <v>0</v>
      </c>
      <c r="N58" t="s">
        <v>309</v>
      </c>
      <c r="O58" t="s">
        <v>603</v>
      </c>
      <c r="P58" t="s">
        <v>604</v>
      </c>
      <c r="Q58" t="s">
        <v>633</v>
      </c>
    </row>
    <row r="59" spans="1:17" x14ac:dyDescent="0.25">
      <c r="A59" t="s">
        <v>512</v>
      </c>
      <c r="B59" t="s">
        <v>513</v>
      </c>
      <c r="C59" t="s">
        <v>509</v>
      </c>
      <c r="D59">
        <v>5801000</v>
      </c>
      <c r="E59">
        <v>0</v>
      </c>
      <c r="F59">
        <v>1</v>
      </c>
      <c r="G59">
        <v>5801000</v>
      </c>
      <c r="H59">
        <v>0</v>
      </c>
      <c r="I59">
        <v>0</v>
      </c>
      <c r="J59">
        <v>0</v>
      </c>
      <c r="K59">
        <v>0</v>
      </c>
      <c r="L59">
        <v>0</v>
      </c>
      <c r="M59">
        <v>0</v>
      </c>
      <c r="N59" t="s">
        <v>309</v>
      </c>
      <c r="O59" t="s">
        <v>603</v>
      </c>
      <c r="P59" t="s">
        <v>604</v>
      </c>
      <c r="Q59" t="s">
        <v>633</v>
      </c>
    </row>
    <row r="60" spans="1:17" x14ac:dyDescent="0.25">
      <c r="A60" t="s">
        <v>514</v>
      </c>
      <c r="B60" t="s">
        <v>515</v>
      </c>
      <c r="C60" t="s">
        <v>509</v>
      </c>
      <c r="D60">
        <v>3740000</v>
      </c>
      <c r="E60">
        <v>0</v>
      </c>
      <c r="F60">
        <v>1</v>
      </c>
      <c r="G60">
        <v>3740000</v>
      </c>
      <c r="H60">
        <v>0</v>
      </c>
      <c r="I60">
        <v>0</v>
      </c>
      <c r="J60">
        <v>0</v>
      </c>
      <c r="K60">
        <v>0</v>
      </c>
      <c r="L60">
        <v>0</v>
      </c>
      <c r="M60">
        <v>0</v>
      </c>
      <c r="N60" t="s">
        <v>309</v>
      </c>
      <c r="O60" t="s">
        <v>603</v>
      </c>
      <c r="P60" t="s">
        <v>604</v>
      </c>
      <c r="Q60" t="s">
        <v>633</v>
      </c>
    </row>
    <row r="61" spans="1:17" x14ac:dyDescent="0.25">
      <c r="A61" t="s">
        <v>550</v>
      </c>
      <c r="B61" t="s">
        <v>551</v>
      </c>
      <c r="C61" t="s">
        <v>509</v>
      </c>
      <c r="D61">
        <v>6104000</v>
      </c>
      <c r="E61">
        <v>0.75</v>
      </c>
      <c r="F61">
        <v>0.25</v>
      </c>
      <c r="G61">
        <v>1526000</v>
      </c>
      <c r="H61">
        <v>4578000</v>
      </c>
      <c r="I61">
        <v>0.17875871139655641</v>
      </c>
      <c r="J61">
        <v>818357.38077343523</v>
      </c>
      <c r="K61">
        <v>3759642.6192265647</v>
      </c>
      <c r="L61">
        <v>2334374.1544820992</v>
      </c>
      <c r="M61">
        <v>1425268.4647444657</v>
      </c>
      <c r="N61" t="s">
        <v>310</v>
      </c>
      <c r="O61" t="s">
        <v>603</v>
      </c>
      <c r="P61" t="s">
        <v>604</v>
      </c>
      <c r="Q61" t="s">
        <v>634</v>
      </c>
    </row>
    <row r="62" spans="1:17" x14ac:dyDescent="0.25">
      <c r="A62" t="s">
        <v>516</v>
      </c>
      <c r="B62" t="s">
        <v>517</v>
      </c>
      <c r="C62" t="s">
        <v>509</v>
      </c>
      <c r="D62">
        <v>1649000</v>
      </c>
      <c r="E62">
        <v>0</v>
      </c>
      <c r="F62">
        <v>1</v>
      </c>
      <c r="G62">
        <v>1649000</v>
      </c>
      <c r="H62">
        <v>0</v>
      </c>
      <c r="I62">
        <v>0</v>
      </c>
      <c r="J62">
        <v>0</v>
      </c>
      <c r="K62">
        <v>0</v>
      </c>
      <c r="L62">
        <v>0</v>
      </c>
      <c r="M62">
        <v>0</v>
      </c>
      <c r="N62" t="s">
        <v>309</v>
      </c>
      <c r="O62" t="s">
        <v>603</v>
      </c>
      <c r="P62" t="s">
        <v>604</v>
      </c>
      <c r="Q62" t="s">
        <v>635</v>
      </c>
    </row>
    <row r="63" spans="1:17" x14ac:dyDescent="0.25">
      <c r="A63" t="s">
        <v>572</v>
      </c>
      <c r="B63" t="s">
        <v>573</v>
      </c>
      <c r="C63" t="s">
        <v>509</v>
      </c>
      <c r="D63">
        <v>6290000</v>
      </c>
      <c r="E63">
        <v>0</v>
      </c>
      <c r="F63">
        <v>1</v>
      </c>
      <c r="G63">
        <v>6290000</v>
      </c>
      <c r="H63">
        <v>0</v>
      </c>
      <c r="I63">
        <v>0</v>
      </c>
      <c r="J63">
        <v>0</v>
      </c>
      <c r="K63">
        <v>0</v>
      </c>
      <c r="L63">
        <v>0</v>
      </c>
      <c r="M63">
        <v>0</v>
      </c>
      <c r="N63" t="s">
        <v>312</v>
      </c>
      <c r="O63" t="s">
        <v>603</v>
      </c>
      <c r="P63" t="s">
        <v>604</v>
      </c>
      <c r="Q63" t="s">
        <v>636</v>
      </c>
    </row>
    <row r="64" spans="1:17" x14ac:dyDescent="0.25">
      <c r="A64" t="s">
        <v>518</v>
      </c>
      <c r="B64" t="s">
        <v>519</v>
      </c>
      <c r="C64" t="s">
        <v>509</v>
      </c>
      <c r="D64">
        <v>420000</v>
      </c>
      <c r="E64">
        <v>0</v>
      </c>
      <c r="F64">
        <v>1</v>
      </c>
      <c r="G64">
        <v>420000</v>
      </c>
      <c r="H64">
        <v>0</v>
      </c>
      <c r="I64">
        <v>0</v>
      </c>
      <c r="J64">
        <v>0</v>
      </c>
      <c r="K64">
        <v>0</v>
      </c>
      <c r="L64">
        <v>0</v>
      </c>
      <c r="M64">
        <v>0</v>
      </c>
      <c r="N64" t="s">
        <v>309</v>
      </c>
      <c r="O64" t="s">
        <v>603</v>
      </c>
      <c r="P64" t="s">
        <v>604</v>
      </c>
      <c r="Q64" t="s">
        <v>637</v>
      </c>
    </row>
    <row r="65" spans="1:17" x14ac:dyDescent="0.25">
      <c r="A65" t="s">
        <v>562</v>
      </c>
      <c r="B65" t="s">
        <v>563</v>
      </c>
      <c r="C65" t="s">
        <v>474</v>
      </c>
      <c r="D65">
        <v>65516000</v>
      </c>
      <c r="E65">
        <v>0.36899402471965298</v>
      </c>
      <c r="F65">
        <v>0.63100597528034708</v>
      </c>
      <c r="G65">
        <v>41340987.476467222</v>
      </c>
      <c r="H65">
        <v>24175012.523532785</v>
      </c>
      <c r="I65">
        <v>0.17875871139655641</v>
      </c>
      <c r="J65">
        <v>4321494.0867023338</v>
      </c>
      <c r="K65">
        <v>19853518.43683045</v>
      </c>
      <c r="L65">
        <v>12327113.241418958</v>
      </c>
      <c r="M65">
        <v>7526405.1954114884</v>
      </c>
      <c r="N65" t="s">
        <v>311</v>
      </c>
      <c r="O65" t="s">
        <v>603</v>
      </c>
      <c r="P65" t="s">
        <v>629</v>
      </c>
      <c r="Q65" t="s">
        <v>638</v>
      </c>
    </row>
    <row r="66" spans="1:17" x14ac:dyDescent="0.25">
      <c r="A66" t="s">
        <v>574</v>
      </c>
      <c r="B66" t="s">
        <v>575</v>
      </c>
      <c r="C66" t="s">
        <v>474</v>
      </c>
      <c r="D66">
        <v>16228000</v>
      </c>
      <c r="E66">
        <v>0.36899402471965298</v>
      </c>
      <c r="F66">
        <v>0.63100597528034708</v>
      </c>
      <c r="G66">
        <v>10239964.966849472</v>
      </c>
      <c r="H66">
        <v>5988035.0331505276</v>
      </c>
      <c r="I66">
        <v>0.17875871139655641</v>
      </c>
      <c r="J66">
        <v>1070413.4263234243</v>
      </c>
      <c r="K66">
        <v>4917621.6068271035</v>
      </c>
      <c r="L66">
        <v>3053367.0199912521</v>
      </c>
      <c r="M66">
        <v>1864254.5868358517</v>
      </c>
      <c r="N66" t="s">
        <v>312</v>
      </c>
      <c r="O66" t="s">
        <v>603</v>
      </c>
      <c r="P66" t="s">
        <v>629</v>
      </c>
      <c r="Q66" t="s">
        <v>638</v>
      </c>
    </row>
    <row r="67" spans="1:17" x14ac:dyDescent="0.25">
      <c r="A67" t="s">
        <v>639</v>
      </c>
      <c r="B67" t="s">
        <v>640</v>
      </c>
      <c r="C67" t="s">
        <v>474</v>
      </c>
      <c r="D67">
        <v>3478000</v>
      </c>
      <c r="E67">
        <v>0</v>
      </c>
      <c r="F67">
        <v>1</v>
      </c>
      <c r="G67">
        <v>3478000</v>
      </c>
      <c r="H67">
        <v>0</v>
      </c>
      <c r="I67">
        <v>0</v>
      </c>
      <c r="J67">
        <v>0</v>
      </c>
      <c r="K67">
        <v>0</v>
      </c>
      <c r="L67">
        <v>0</v>
      </c>
      <c r="M67">
        <v>0</v>
      </c>
      <c r="N67" t="s">
        <v>583</v>
      </c>
      <c r="O67" t="s">
        <v>614</v>
      </c>
      <c r="P67" t="s">
        <v>604</v>
      </c>
      <c r="Q67" t="s">
        <v>641</v>
      </c>
    </row>
    <row r="68" spans="1:17" x14ac:dyDescent="0.25">
      <c r="A68" t="s">
        <v>576</v>
      </c>
      <c r="B68" t="s">
        <v>577</v>
      </c>
      <c r="C68" t="s">
        <v>474</v>
      </c>
      <c r="D68">
        <v>21800000</v>
      </c>
      <c r="E68">
        <v>0.47037094043404648</v>
      </c>
      <c r="F68">
        <v>0.52962905956595352</v>
      </c>
      <c r="G68">
        <v>11545913.498537786</v>
      </c>
      <c r="H68">
        <v>10254086.501462214</v>
      </c>
      <c r="I68">
        <v>0.17875871139655641</v>
      </c>
      <c r="J68">
        <v>1833007.2895502087</v>
      </c>
      <c r="K68">
        <v>8421079.2119120043</v>
      </c>
      <c r="L68">
        <v>5228675.0779460808</v>
      </c>
      <c r="M68">
        <v>3192404.1339659235</v>
      </c>
      <c r="N68" t="s">
        <v>312</v>
      </c>
      <c r="O68" t="s">
        <v>603</v>
      </c>
      <c r="P68" t="s">
        <v>629</v>
      </c>
      <c r="Q68" t="s">
        <v>642</v>
      </c>
    </row>
    <row r="69" spans="1:17" x14ac:dyDescent="0.25">
      <c r="A69" t="s">
        <v>578</v>
      </c>
      <c r="B69" t="s">
        <v>579</v>
      </c>
      <c r="C69" t="s">
        <v>474</v>
      </c>
      <c r="D69">
        <v>11779000</v>
      </c>
      <c r="E69">
        <v>0.47037094043404648</v>
      </c>
      <c r="F69">
        <v>0.52962905956595352</v>
      </c>
      <c r="G69">
        <v>6238500.6926273666</v>
      </c>
      <c r="H69">
        <v>5540499.3073726334</v>
      </c>
      <c r="I69">
        <v>0.17875871139655641</v>
      </c>
      <c r="J69">
        <v>990412.51667944528</v>
      </c>
      <c r="K69">
        <v>4550086.7906931881</v>
      </c>
      <c r="L69">
        <v>2825163.4744553617</v>
      </c>
      <c r="M69">
        <v>1724923.3162378264</v>
      </c>
      <c r="N69" t="s">
        <v>312</v>
      </c>
      <c r="O69" t="s">
        <v>603</v>
      </c>
      <c r="P69" t="s">
        <v>629</v>
      </c>
      <c r="Q69" t="s">
        <v>642</v>
      </c>
    </row>
    <row r="70" spans="1:17" x14ac:dyDescent="0.25">
      <c r="A70" t="s">
        <v>552</v>
      </c>
      <c r="B70" t="s">
        <v>553</v>
      </c>
      <c r="C70" t="s">
        <v>474</v>
      </c>
      <c r="D70">
        <v>1045000</v>
      </c>
      <c r="E70">
        <v>0.47037094043404648</v>
      </c>
      <c r="F70">
        <v>0.52962905956595352</v>
      </c>
      <c r="G70">
        <v>553462.3672464214</v>
      </c>
      <c r="H70">
        <v>491537.6327535786</v>
      </c>
      <c r="I70">
        <v>0.17875871139655641</v>
      </c>
      <c r="J70">
        <v>87866.633833943488</v>
      </c>
      <c r="K70">
        <v>403670.99891963502</v>
      </c>
      <c r="L70">
        <v>250640.61726851627</v>
      </c>
      <c r="M70">
        <v>153030.38165111881</v>
      </c>
      <c r="N70" t="s">
        <v>310</v>
      </c>
      <c r="O70" t="s">
        <v>603</v>
      </c>
      <c r="P70" t="s">
        <v>629</v>
      </c>
      <c r="Q70" t="s">
        <v>638</v>
      </c>
    </row>
    <row r="71" spans="1:17" x14ac:dyDescent="0.25">
      <c r="A71" t="s">
        <v>554</v>
      </c>
      <c r="B71" t="s">
        <v>555</v>
      </c>
      <c r="C71" t="s">
        <v>474</v>
      </c>
      <c r="D71">
        <v>629000</v>
      </c>
      <c r="E71">
        <v>0.47037094043404648</v>
      </c>
      <c r="F71">
        <v>0.52962905956595352</v>
      </c>
      <c r="G71">
        <v>333136.67846698477</v>
      </c>
      <c r="H71">
        <v>295863.32153301523</v>
      </c>
      <c r="I71">
        <v>0.17875871139655641</v>
      </c>
      <c r="J71">
        <v>52888.146106746841</v>
      </c>
      <c r="K71">
        <v>242975.1754262684</v>
      </c>
      <c r="L71">
        <v>150864.06532238919</v>
      </c>
      <c r="M71">
        <v>92111.110103879168</v>
      </c>
      <c r="N71" t="s">
        <v>310</v>
      </c>
      <c r="O71" t="s">
        <v>603</v>
      </c>
      <c r="P71" t="s">
        <v>629</v>
      </c>
      <c r="Q71" t="s">
        <v>638</v>
      </c>
    </row>
    <row r="72" spans="1:17" x14ac:dyDescent="0.25">
      <c r="A72" t="s">
        <v>556</v>
      </c>
      <c r="B72" t="s">
        <v>557</v>
      </c>
      <c r="C72" t="s">
        <v>474</v>
      </c>
      <c r="D72">
        <v>8067000</v>
      </c>
      <c r="E72">
        <v>0.74022988505747134</v>
      </c>
      <c r="F72">
        <v>0.25977011494252866</v>
      </c>
      <c r="G72">
        <v>2095565.5172413788</v>
      </c>
      <c r="H72">
        <v>5971434.4827586217</v>
      </c>
      <c r="I72">
        <v>0.17875871139655641</v>
      </c>
      <c r="J72">
        <v>1067445.9333268935</v>
      </c>
      <c r="K72">
        <v>4903988.5494317282</v>
      </c>
      <c r="L72">
        <v>3044902.2109512687</v>
      </c>
      <c r="M72">
        <v>1859086.3384804595</v>
      </c>
      <c r="N72" t="s">
        <v>310</v>
      </c>
      <c r="O72" t="s">
        <v>603</v>
      </c>
      <c r="P72" t="s">
        <v>629</v>
      </c>
      <c r="Q72" t="s">
        <v>643</v>
      </c>
    </row>
    <row r="73" spans="1:17" x14ac:dyDescent="0.25">
      <c r="A73" t="s">
        <v>558</v>
      </c>
      <c r="B73" t="s">
        <v>559</v>
      </c>
      <c r="C73" t="s">
        <v>474</v>
      </c>
      <c r="D73">
        <v>9156000</v>
      </c>
      <c r="E73">
        <v>0.74022988505747134</v>
      </c>
      <c r="F73">
        <v>0.25977011494252866</v>
      </c>
      <c r="G73">
        <v>2378455.1724137925</v>
      </c>
      <c r="H73">
        <v>6777544.8275862075</v>
      </c>
      <c r="I73">
        <v>0.17875871139655641</v>
      </c>
      <c r="J73">
        <v>1211545.1798117063</v>
      </c>
      <c r="K73">
        <v>5565999.6477745008</v>
      </c>
      <c r="L73">
        <v>3455947.0241068322</v>
      </c>
      <c r="M73">
        <v>2110052.623667669</v>
      </c>
      <c r="N73" t="s">
        <v>310</v>
      </c>
      <c r="O73" t="s">
        <v>603</v>
      </c>
      <c r="P73" t="s">
        <v>629</v>
      </c>
      <c r="Q73" t="s">
        <v>643</v>
      </c>
    </row>
    <row r="74" spans="1:17" x14ac:dyDescent="0.25">
      <c r="A74" t="s">
        <v>560</v>
      </c>
      <c r="B74" t="s">
        <v>561</v>
      </c>
      <c r="C74" t="s">
        <v>474</v>
      </c>
      <c r="D74">
        <v>1310000</v>
      </c>
      <c r="E74">
        <v>0.74022988505747134</v>
      </c>
      <c r="F74">
        <v>0.25977011494252866</v>
      </c>
      <c r="G74">
        <v>340298.85057471256</v>
      </c>
      <c r="H74">
        <v>969701.14942528761</v>
      </c>
      <c r="I74">
        <v>0.17875871139655641</v>
      </c>
      <c r="J74">
        <v>173342.52791102399</v>
      </c>
      <c r="K74">
        <v>796358.62151426356</v>
      </c>
      <c r="L74">
        <v>494461.62096766609</v>
      </c>
      <c r="M74">
        <v>301897.00054659747</v>
      </c>
      <c r="N74" t="s">
        <v>310</v>
      </c>
      <c r="O74" t="s">
        <v>603</v>
      </c>
      <c r="P74" t="s">
        <v>629</v>
      </c>
      <c r="Q74" t="s">
        <v>643</v>
      </c>
    </row>
    <row r="75" spans="1:17" x14ac:dyDescent="0.25">
      <c r="A75" t="s">
        <v>472</v>
      </c>
      <c r="B75" t="s">
        <v>473</v>
      </c>
      <c r="C75" t="s">
        <v>474</v>
      </c>
      <c r="D75">
        <v>628000</v>
      </c>
      <c r="E75">
        <v>0</v>
      </c>
      <c r="F75">
        <v>1</v>
      </c>
      <c r="G75">
        <v>628000</v>
      </c>
      <c r="H75">
        <v>0</v>
      </c>
      <c r="I75">
        <v>0</v>
      </c>
      <c r="J75">
        <v>0</v>
      </c>
      <c r="K75">
        <v>0</v>
      </c>
      <c r="L75">
        <v>0</v>
      </c>
      <c r="M75">
        <v>0</v>
      </c>
      <c r="N75" t="s">
        <v>584</v>
      </c>
      <c r="O75" t="s">
        <v>603</v>
      </c>
      <c r="P75" t="s">
        <v>604</v>
      </c>
      <c r="Q75" t="s">
        <v>637</v>
      </c>
    </row>
    <row r="76" spans="1:17" x14ac:dyDescent="0.25">
      <c r="A76" t="s">
        <v>475</v>
      </c>
      <c r="B76" t="s">
        <v>476</v>
      </c>
      <c r="C76" t="s">
        <v>474</v>
      </c>
      <c r="D76">
        <v>61000</v>
      </c>
      <c r="E76">
        <v>0</v>
      </c>
      <c r="F76">
        <v>1</v>
      </c>
      <c r="G76">
        <v>61000</v>
      </c>
      <c r="H76">
        <v>0</v>
      </c>
      <c r="I76">
        <v>0</v>
      </c>
      <c r="J76">
        <v>0</v>
      </c>
      <c r="K76">
        <v>0</v>
      </c>
      <c r="L76">
        <v>0</v>
      </c>
      <c r="M76">
        <v>0</v>
      </c>
      <c r="N76" t="s">
        <v>584</v>
      </c>
      <c r="O76" t="s">
        <v>603</v>
      </c>
      <c r="P76" t="s">
        <v>604</v>
      </c>
      <c r="Q76" t="s">
        <v>637</v>
      </c>
    </row>
    <row r="77" spans="1:17" x14ac:dyDescent="0.25">
      <c r="A77" t="s">
        <v>644</v>
      </c>
      <c r="B77" t="s">
        <v>645</v>
      </c>
      <c r="C77" t="s">
        <v>474</v>
      </c>
      <c r="D77">
        <v>1086000</v>
      </c>
      <c r="E77">
        <v>0</v>
      </c>
      <c r="F77">
        <v>1</v>
      </c>
      <c r="G77">
        <v>1086000</v>
      </c>
      <c r="H77">
        <v>0</v>
      </c>
      <c r="I77">
        <v>0</v>
      </c>
      <c r="J77">
        <v>0</v>
      </c>
      <c r="K77">
        <v>0</v>
      </c>
      <c r="L77">
        <v>0</v>
      </c>
      <c r="M77">
        <v>0</v>
      </c>
      <c r="N77" t="s">
        <v>583</v>
      </c>
      <c r="O77" t="s">
        <v>614</v>
      </c>
      <c r="P77" t="s">
        <v>604</v>
      </c>
      <c r="Q77" t="s">
        <v>637</v>
      </c>
    </row>
    <row r="78" spans="1:17" x14ac:dyDescent="0.25">
      <c r="A78" t="s">
        <v>646</v>
      </c>
      <c r="B78" t="s">
        <v>647</v>
      </c>
      <c r="C78" t="s">
        <v>474</v>
      </c>
      <c r="D78">
        <v>168000</v>
      </c>
      <c r="E78">
        <v>0</v>
      </c>
      <c r="F78">
        <v>1</v>
      </c>
      <c r="G78">
        <v>168000</v>
      </c>
      <c r="H78">
        <v>0</v>
      </c>
      <c r="I78">
        <v>0</v>
      </c>
      <c r="J78">
        <v>0</v>
      </c>
      <c r="K78">
        <v>0</v>
      </c>
      <c r="L78">
        <v>0</v>
      </c>
      <c r="M78">
        <v>0</v>
      </c>
      <c r="N78" t="s">
        <v>583</v>
      </c>
      <c r="O78" t="s">
        <v>614</v>
      </c>
      <c r="P78" t="s">
        <v>604</v>
      </c>
      <c r="Q78" t="s">
        <v>637</v>
      </c>
    </row>
    <row r="79" spans="1:17" x14ac:dyDescent="0.25">
      <c r="A79" t="s">
        <v>648</v>
      </c>
      <c r="B79" t="s">
        <v>649</v>
      </c>
      <c r="C79" t="s">
        <v>474</v>
      </c>
      <c r="D79">
        <v>1931000</v>
      </c>
      <c r="E79">
        <v>0</v>
      </c>
      <c r="F79">
        <v>1</v>
      </c>
      <c r="G79">
        <v>1931000</v>
      </c>
      <c r="H79">
        <v>0</v>
      </c>
      <c r="I79">
        <v>0</v>
      </c>
      <c r="J79">
        <v>0</v>
      </c>
      <c r="K79">
        <v>0</v>
      </c>
      <c r="L79">
        <v>0</v>
      </c>
      <c r="M79">
        <v>0</v>
      </c>
      <c r="N79" t="s">
        <v>583</v>
      </c>
      <c r="O79" t="s">
        <v>614</v>
      </c>
      <c r="P79" t="s">
        <v>604</v>
      </c>
      <c r="Q79" t="s">
        <v>637</v>
      </c>
    </row>
    <row r="80" spans="1:17" x14ac:dyDescent="0.25">
      <c r="A80" t="s">
        <v>650</v>
      </c>
      <c r="B80" t="s">
        <v>651</v>
      </c>
      <c r="C80" t="s">
        <v>474</v>
      </c>
      <c r="D80">
        <v>168000</v>
      </c>
      <c r="E80">
        <v>0</v>
      </c>
      <c r="F80">
        <v>1</v>
      </c>
      <c r="G80">
        <v>168000</v>
      </c>
      <c r="H80">
        <v>0</v>
      </c>
      <c r="I80">
        <v>0</v>
      </c>
      <c r="J80">
        <v>0</v>
      </c>
      <c r="K80">
        <v>0</v>
      </c>
      <c r="L80">
        <v>0</v>
      </c>
      <c r="M80">
        <v>0</v>
      </c>
      <c r="N80" t="s">
        <v>583</v>
      </c>
      <c r="O80" t="s">
        <v>614</v>
      </c>
      <c r="P80" t="s">
        <v>604</v>
      </c>
      <c r="Q80" t="s">
        <v>637</v>
      </c>
    </row>
    <row r="81" spans="1:17" x14ac:dyDescent="0.25">
      <c r="A81" t="s">
        <v>520</v>
      </c>
      <c r="B81" t="s">
        <v>521</v>
      </c>
      <c r="C81" t="s">
        <v>474</v>
      </c>
      <c r="D81">
        <v>4752000</v>
      </c>
      <c r="E81">
        <v>0.75</v>
      </c>
      <c r="F81">
        <v>0.25</v>
      </c>
      <c r="G81">
        <v>1188000</v>
      </c>
      <c r="H81">
        <v>3564000</v>
      </c>
      <c r="I81">
        <v>0.17875871139655641</v>
      </c>
      <c r="J81">
        <v>637096.04741732706</v>
      </c>
      <c r="K81">
        <v>2926903.9525826732</v>
      </c>
      <c r="L81">
        <v>1817324.0468707299</v>
      </c>
      <c r="M81">
        <v>1109579.9057119433</v>
      </c>
      <c r="N81" t="s">
        <v>309</v>
      </c>
      <c r="O81" t="s">
        <v>603</v>
      </c>
      <c r="P81" t="s">
        <v>604</v>
      </c>
      <c r="Q81" t="s">
        <v>652</v>
      </c>
    </row>
    <row r="82" spans="1:17" x14ac:dyDescent="0.25">
      <c r="A82" t="s">
        <v>477</v>
      </c>
      <c r="B82" t="s">
        <v>478</v>
      </c>
      <c r="C82" t="s">
        <v>479</v>
      </c>
      <c r="D82">
        <v>50000</v>
      </c>
      <c r="E82">
        <v>0.5</v>
      </c>
      <c r="F82">
        <v>0.5</v>
      </c>
      <c r="G82">
        <v>25000</v>
      </c>
      <c r="H82">
        <v>25000</v>
      </c>
      <c r="I82">
        <v>0.17875871139655644</v>
      </c>
      <c r="J82">
        <v>4468.9677849139107</v>
      </c>
      <c r="K82">
        <v>20531.032215086088</v>
      </c>
      <c r="L82">
        <v>12747.783718229024</v>
      </c>
      <c r="M82">
        <v>7783.2484968570643</v>
      </c>
      <c r="N82" t="s">
        <v>584</v>
      </c>
      <c r="O82" t="s">
        <v>603</v>
      </c>
      <c r="P82" t="s">
        <v>604</v>
      </c>
      <c r="Q82" t="s">
        <v>653</v>
      </c>
    </row>
    <row r="83" spans="1:17" x14ac:dyDescent="0.25">
      <c r="A83" t="s">
        <v>480</v>
      </c>
      <c r="B83" t="s">
        <v>481</v>
      </c>
      <c r="C83" t="s">
        <v>479</v>
      </c>
      <c r="D83">
        <v>50000</v>
      </c>
      <c r="E83">
        <v>0.5</v>
      </c>
      <c r="F83">
        <v>0.5</v>
      </c>
      <c r="G83">
        <v>25000</v>
      </c>
      <c r="H83">
        <v>25000</v>
      </c>
      <c r="I83">
        <v>0.17875871139655644</v>
      </c>
      <c r="J83">
        <v>4468.9677849139107</v>
      </c>
      <c r="K83">
        <v>20531.032215086088</v>
      </c>
      <c r="L83">
        <v>12747.783718229024</v>
      </c>
      <c r="M83">
        <v>7783.2484968570643</v>
      </c>
      <c r="N83" t="s">
        <v>584</v>
      </c>
      <c r="O83" t="s">
        <v>603</v>
      </c>
      <c r="P83" t="s">
        <v>604</v>
      </c>
      <c r="Q83" t="s">
        <v>654</v>
      </c>
    </row>
    <row r="84" spans="1:17" x14ac:dyDescent="0.25">
      <c r="A84" t="s">
        <v>522</v>
      </c>
      <c r="B84" t="s">
        <v>523</v>
      </c>
      <c r="C84" t="s">
        <v>479</v>
      </c>
      <c r="D84">
        <v>50000</v>
      </c>
      <c r="E84">
        <v>0.5</v>
      </c>
      <c r="F84">
        <v>0.5</v>
      </c>
      <c r="G84">
        <v>25000</v>
      </c>
      <c r="H84">
        <v>25000</v>
      </c>
      <c r="I84">
        <v>0.17875871139655644</v>
      </c>
      <c r="J84">
        <v>4468.9677849139107</v>
      </c>
      <c r="K84">
        <v>20531.032215086088</v>
      </c>
      <c r="L84">
        <v>12747.783718229024</v>
      </c>
      <c r="M84">
        <v>7783.2484968570643</v>
      </c>
      <c r="N84" t="s">
        <v>309</v>
      </c>
      <c r="O84" t="s">
        <v>603</v>
      </c>
      <c r="P84" t="s">
        <v>604</v>
      </c>
      <c r="Q84" t="s">
        <v>655</v>
      </c>
    </row>
    <row r="85" spans="1:17" x14ac:dyDescent="0.25">
      <c r="A85" t="s">
        <v>524</v>
      </c>
      <c r="B85" t="s">
        <v>525</v>
      </c>
      <c r="C85" t="s">
        <v>479</v>
      </c>
      <c r="D85">
        <v>50000</v>
      </c>
      <c r="E85">
        <v>0.5</v>
      </c>
      <c r="F85">
        <v>0.5</v>
      </c>
      <c r="G85">
        <v>25000</v>
      </c>
      <c r="H85">
        <v>25000</v>
      </c>
      <c r="I85">
        <v>0.17875871139655644</v>
      </c>
      <c r="J85">
        <v>4468.9677849139107</v>
      </c>
      <c r="K85">
        <v>20531.032215086088</v>
      </c>
      <c r="L85">
        <v>12747.783718229024</v>
      </c>
      <c r="M85">
        <v>7783.2484968570643</v>
      </c>
      <c r="N85" t="s">
        <v>309</v>
      </c>
      <c r="O85" t="s">
        <v>603</v>
      </c>
      <c r="P85" t="s">
        <v>604</v>
      </c>
      <c r="Q85" t="s">
        <v>655</v>
      </c>
    </row>
    <row r="86" spans="1:17" x14ac:dyDescent="0.25">
      <c r="A86" t="s">
        <v>482</v>
      </c>
      <c r="B86" t="s">
        <v>483</v>
      </c>
      <c r="C86" t="s">
        <v>479</v>
      </c>
      <c r="D86">
        <v>100000</v>
      </c>
      <c r="E86">
        <v>0.5</v>
      </c>
      <c r="F86">
        <v>0.5</v>
      </c>
      <c r="G86">
        <v>50000</v>
      </c>
      <c r="H86">
        <v>50000</v>
      </c>
      <c r="I86">
        <v>0.17875871139655644</v>
      </c>
      <c r="J86">
        <v>8937.9355698278214</v>
      </c>
      <c r="K86">
        <v>41062.064430172177</v>
      </c>
      <c r="L86">
        <v>25495.567436458048</v>
      </c>
      <c r="M86">
        <v>15566.496993714129</v>
      </c>
      <c r="N86" t="s">
        <v>584</v>
      </c>
      <c r="O86" t="s">
        <v>603</v>
      </c>
      <c r="P86" t="s">
        <v>604</v>
      </c>
      <c r="Q86" t="s">
        <v>656</v>
      </c>
    </row>
    <row r="87" spans="1:17" x14ac:dyDescent="0.25">
      <c r="A87" t="s">
        <v>484</v>
      </c>
      <c r="B87" t="s">
        <v>485</v>
      </c>
      <c r="C87" t="s">
        <v>479</v>
      </c>
      <c r="D87">
        <v>200000</v>
      </c>
      <c r="E87">
        <v>0.5</v>
      </c>
      <c r="F87">
        <v>0.5</v>
      </c>
      <c r="G87">
        <v>100000</v>
      </c>
      <c r="H87">
        <v>100000</v>
      </c>
      <c r="I87">
        <v>0.17875871139655644</v>
      </c>
      <c r="J87">
        <v>17875.871139655643</v>
      </c>
      <c r="K87">
        <v>82124.128860344354</v>
      </c>
      <c r="L87">
        <v>50991.134872916096</v>
      </c>
      <c r="M87">
        <v>31132.993987428257</v>
      </c>
      <c r="N87" t="s">
        <v>584</v>
      </c>
      <c r="O87" t="s">
        <v>603</v>
      </c>
      <c r="P87" t="s">
        <v>604</v>
      </c>
      <c r="Q87" t="s">
        <v>655</v>
      </c>
    </row>
    <row r="88" spans="1:17" x14ac:dyDescent="0.25">
      <c r="A88" t="s">
        <v>486</v>
      </c>
      <c r="B88" t="s">
        <v>487</v>
      </c>
      <c r="C88" t="s">
        <v>479</v>
      </c>
      <c r="D88">
        <v>50000</v>
      </c>
      <c r="E88">
        <v>0.5</v>
      </c>
      <c r="F88">
        <v>0.5</v>
      </c>
      <c r="G88">
        <v>25000</v>
      </c>
      <c r="H88">
        <v>25000</v>
      </c>
      <c r="I88">
        <v>0.17875871139655644</v>
      </c>
      <c r="J88">
        <v>4468.9677849139107</v>
      </c>
      <c r="K88">
        <v>20531.032215086088</v>
      </c>
      <c r="L88">
        <v>12747.783718229024</v>
      </c>
      <c r="M88">
        <v>7783.2484968570643</v>
      </c>
      <c r="N88" t="s">
        <v>584</v>
      </c>
      <c r="O88" t="s">
        <v>603</v>
      </c>
      <c r="P88" t="s">
        <v>604</v>
      </c>
      <c r="Q88" t="s">
        <v>655</v>
      </c>
    </row>
    <row r="89" spans="1:17" x14ac:dyDescent="0.25">
      <c r="A89" t="s">
        <v>488</v>
      </c>
      <c r="B89" t="s">
        <v>489</v>
      </c>
      <c r="C89" t="s">
        <v>479</v>
      </c>
      <c r="D89">
        <v>50000</v>
      </c>
      <c r="E89">
        <v>0.5</v>
      </c>
      <c r="F89">
        <v>0.5</v>
      </c>
      <c r="G89">
        <v>25000</v>
      </c>
      <c r="H89">
        <v>25000</v>
      </c>
      <c r="I89">
        <v>0.17875871139655644</v>
      </c>
      <c r="J89">
        <v>4468.9677849139107</v>
      </c>
      <c r="K89">
        <v>20531.032215086088</v>
      </c>
      <c r="L89">
        <v>12747.783718229024</v>
      </c>
      <c r="M89">
        <v>7783.2484968570643</v>
      </c>
      <c r="N89" t="s">
        <v>584</v>
      </c>
      <c r="O89" t="s">
        <v>603</v>
      </c>
      <c r="P89" t="s">
        <v>604</v>
      </c>
      <c r="Q89" t="s">
        <v>655</v>
      </c>
    </row>
    <row r="90" spans="1:17" x14ac:dyDescent="0.25">
      <c r="A90" t="s">
        <v>580</v>
      </c>
      <c r="B90" t="s">
        <v>581</v>
      </c>
      <c r="C90" t="s">
        <v>479</v>
      </c>
      <c r="D90">
        <v>50000</v>
      </c>
      <c r="E90">
        <v>0.5</v>
      </c>
      <c r="F90">
        <v>0.5</v>
      </c>
      <c r="G90">
        <v>25000</v>
      </c>
      <c r="H90">
        <v>25000</v>
      </c>
      <c r="I90">
        <v>0.17875871139655644</v>
      </c>
      <c r="J90">
        <v>4468.9677849139107</v>
      </c>
      <c r="K90">
        <v>20531.032215086088</v>
      </c>
      <c r="L90">
        <v>12747.783718229024</v>
      </c>
      <c r="M90">
        <v>7783.2484968570643</v>
      </c>
      <c r="N90" t="s">
        <v>312</v>
      </c>
      <c r="O90" t="s">
        <v>603</v>
      </c>
      <c r="P90" t="s">
        <v>604</v>
      </c>
      <c r="Q90" t="s">
        <v>656</v>
      </c>
    </row>
    <row r="91" spans="1:17" x14ac:dyDescent="0.25">
      <c r="C91" t="s">
        <v>701</v>
      </c>
      <c r="D91">
        <v>279597000</v>
      </c>
      <c r="G91">
        <v>166889102.37048817</v>
      </c>
      <c r="H91">
        <v>112707897.6295118</v>
      </c>
      <c r="J91">
        <v>20147518.544466533</v>
      </c>
      <c r="K91">
        <v>92560379.085045308</v>
      </c>
      <c r="L91">
        <v>57471036.713595778</v>
      </c>
      <c r="M91">
        <v>35089343.371449523</v>
      </c>
    </row>
    <row r="92" spans="1:17" x14ac:dyDescent="0.25">
      <c r="C92" t="s">
        <v>702</v>
      </c>
      <c r="D92">
        <v>21722000</v>
      </c>
      <c r="G92">
        <v>21722000</v>
      </c>
      <c r="H92">
        <v>0</v>
      </c>
      <c r="J92">
        <v>0</v>
      </c>
      <c r="K92">
        <v>0</v>
      </c>
      <c r="L92">
        <v>0</v>
      </c>
      <c r="M92">
        <v>0</v>
      </c>
    </row>
    <row r="93" spans="1:17" x14ac:dyDescent="0.25">
      <c r="C93" t="s">
        <v>703</v>
      </c>
      <c r="D93">
        <v>257875000</v>
      </c>
      <c r="G93">
        <v>145167102.37048817</v>
      </c>
      <c r="H93">
        <v>112707897.6295118</v>
      </c>
      <c r="J93">
        <v>20147518.544466533</v>
      </c>
      <c r="K93">
        <v>92560379.085045308</v>
      </c>
      <c r="L93">
        <v>57471036.713595778</v>
      </c>
      <c r="M93">
        <v>35089343.371449523</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workbookViewId="0">
      <selection sqref="A1:A2"/>
    </sheetView>
  </sheetViews>
  <sheetFormatPr defaultRowHeight="12.5" x14ac:dyDescent="0.25"/>
  <cols>
    <col min="1" max="1" width="9.453125" bestFit="1" customWidth="1"/>
    <col min="2" max="2" width="11.81640625" bestFit="1" customWidth="1"/>
  </cols>
  <sheetData>
    <row r="1" spans="1:2" x14ac:dyDescent="0.25">
      <c r="A1" t="s">
        <v>585</v>
      </c>
      <c r="B1" t="s">
        <v>2</v>
      </c>
    </row>
    <row r="2" spans="1:2" x14ac:dyDescent="0.25">
      <c r="A2" t="s">
        <v>308</v>
      </c>
    </row>
    <row r="3" spans="1:2" x14ac:dyDescent="0.25">
      <c r="A3" t="s">
        <v>309</v>
      </c>
      <c r="B3">
        <v>1.1176795634665413</v>
      </c>
    </row>
    <row r="4" spans="1:2" x14ac:dyDescent="0.25">
      <c r="A4" t="s">
        <v>310</v>
      </c>
      <c r="B4">
        <v>1.2485947775530337</v>
      </c>
    </row>
    <row r="5" spans="1:2" x14ac:dyDescent="0.25">
      <c r="A5" t="s">
        <v>311</v>
      </c>
      <c r="B5">
        <v>1.3948442554478002</v>
      </c>
    </row>
    <row r="6" spans="1:2" x14ac:dyDescent="0.25">
      <c r="A6" t="s">
        <v>312</v>
      </c>
      <c r="B6">
        <v>1.5582241187718648</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sqref="A1:A2"/>
    </sheetView>
  </sheetViews>
  <sheetFormatPr defaultRowHeight="12.5" x14ac:dyDescent="0.25"/>
  <cols>
    <col min="1" max="1" width="10.7265625" bestFit="1" customWidth="1"/>
  </cols>
  <sheetData>
    <row r="1" spans="1:1" x14ac:dyDescent="0.25">
      <c r="A1" t="s">
        <v>704</v>
      </c>
    </row>
    <row r="2" spans="1:1" x14ac:dyDescent="0.25">
      <c r="A2">
        <v>1.77E-2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59"/>
  <sheetViews>
    <sheetView workbookViewId="0">
      <selection sqref="A1:A2"/>
    </sheetView>
  </sheetViews>
  <sheetFormatPr defaultRowHeight="12.5" x14ac:dyDescent="0.25"/>
  <cols>
    <col min="1" max="1" width="11.453125" bestFit="1" customWidth="1"/>
    <col min="2" max="2" width="55.81640625" bestFit="1" customWidth="1"/>
    <col min="3" max="3" width="60.1796875" bestFit="1" customWidth="1"/>
    <col min="4" max="4" width="40.7265625" bestFit="1" customWidth="1"/>
    <col min="5" max="5" width="14.1796875" bestFit="1" customWidth="1"/>
    <col min="6" max="6" width="11.81640625" bestFit="1" customWidth="1"/>
    <col min="7" max="7" width="25" bestFit="1" customWidth="1"/>
    <col min="8" max="8" width="14.81640625" bestFit="1" customWidth="1"/>
    <col min="9" max="9" width="25.54296875" bestFit="1" customWidth="1"/>
    <col min="10" max="10" width="118.1796875" bestFit="1" customWidth="1"/>
    <col min="11" max="11" width="14.81640625" bestFit="1" customWidth="1"/>
    <col min="12" max="12" width="18.453125" bestFit="1" customWidth="1"/>
    <col min="13" max="13" width="22.81640625" bestFit="1" customWidth="1"/>
    <col min="14" max="14" width="11.81640625" bestFit="1" customWidth="1"/>
    <col min="15" max="15" width="17.1796875" bestFit="1" customWidth="1"/>
    <col min="16" max="16" width="31.453125" bestFit="1" customWidth="1"/>
    <col min="17" max="17" width="20.453125" bestFit="1" customWidth="1"/>
    <col min="18" max="18" width="21.1796875" bestFit="1" customWidth="1"/>
    <col min="19" max="19" width="20.81640625" bestFit="1" customWidth="1"/>
    <col min="20" max="20" width="24.1796875" bestFit="1" customWidth="1"/>
    <col min="21" max="21" width="19.54296875" bestFit="1" customWidth="1"/>
    <col min="22" max="22" width="23.81640625" bestFit="1" customWidth="1"/>
    <col min="23" max="23" width="34.54296875" bestFit="1" customWidth="1"/>
    <col min="24" max="24" width="26.1796875" bestFit="1" customWidth="1"/>
    <col min="25" max="25" width="80.54296875" bestFit="1" customWidth="1"/>
    <col min="26" max="26" width="21.54296875" bestFit="1" customWidth="1"/>
  </cols>
  <sheetData>
    <row r="1" spans="1:19" x14ac:dyDescent="0.25">
      <c r="A1" t="s">
        <v>586</v>
      </c>
      <c r="B1" t="s">
        <v>587</v>
      </c>
      <c r="C1" t="s">
        <v>316</v>
      </c>
      <c r="D1" t="s">
        <v>588</v>
      </c>
      <c r="E1" t="s">
        <v>591</v>
      </c>
      <c r="F1" t="s">
        <v>592</v>
      </c>
      <c r="G1" t="s">
        <v>595</v>
      </c>
      <c r="H1" t="s">
        <v>582</v>
      </c>
      <c r="I1" t="s">
        <v>601</v>
      </c>
      <c r="J1" t="s">
        <v>602</v>
      </c>
      <c r="K1" t="s">
        <v>589</v>
      </c>
      <c r="L1" s="78" t="s">
        <v>590</v>
      </c>
      <c r="M1" s="78" t="s">
        <v>675</v>
      </c>
      <c r="N1" t="s">
        <v>706</v>
      </c>
      <c r="O1" s="78" t="s">
        <v>676</v>
      </c>
      <c r="P1" s="78" t="s">
        <v>707</v>
      </c>
      <c r="Q1" s="78" t="s">
        <v>708</v>
      </c>
      <c r="R1" s="78" t="s">
        <v>692</v>
      </c>
      <c r="S1" s="78" t="s">
        <v>709</v>
      </c>
    </row>
    <row r="2" spans="1:19" x14ac:dyDescent="0.25">
      <c r="A2" t="s">
        <v>490</v>
      </c>
      <c r="B2" t="s">
        <v>491</v>
      </c>
      <c r="C2" t="s">
        <v>492</v>
      </c>
      <c r="D2">
        <v>3841000</v>
      </c>
      <c r="E2">
        <v>0.75</v>
      </c>
      <c r="F2">
        <v>0.25</v>
      </c>
      <c r="G2" s="157">
        <v>0.17875871139655641</v>
      </c>
      <c r="H2" s="157" t="s">
        <v>309</v>
      </c>
      <c r="I2" t="s">
        <v>604</v>
      </c>
      <c r="J2" t="s">
        <v>605</v>
      </c>
      <c r="K2">
        <v>1.1176795634665413</v>
      </c>
      <c r="L2" s="159">
        <v>4293007.2</v>
      </c>
      <c r="M2" s="159">
        <v>75986.23</v>
      </c>
      <c r="N2">
        <v>4368993.4300000006</v>
      </c>
      <c r="O2" s="159">
        <v>0</v>
      </c>
      <c r="P2" s="159">
        <v>4368993.43</v>
      </c>
      <c r="Q2" s="159">
        <v>1092248.3600000001</v>
      </c>
      <c r="R2" s="159">
        <v>585746.73</v>
      </c>
      <c r="S2" s="159">
        <v>2690998.34</v>
      </c>
    </row>
    <row r="3" spans="1:19" x14ac:dyDescent="0.25">
      <c r="A3" t="s">
        <v>493</v>
      </c>
      <c r="B3" t="s">
        <v>494</v>
      </c>
      <c r="C3" t="s">
        <v>492</v>
      </c>
      <c r="D3">
        <v>2650000</v>
      </c>
      <c r="E3">
        <v>0.75</v>
      </c>
      <c r="F3">
        <v>0.25</v>
      </c>
      <c r="G3" s="157">
        <v>0.17875871139655641</v>
      </c>
      <c r="H3" s="157" t="s">
        <v>309</v>
      </c>
      <c r="I3" t="s">
        <v>604</v>
      </c>
      <c r="J3" t="s">
        <v>606</v>
      </c>
      <c r="K3">
        <v>1.1176795634665413</v>
      </c>
      <c r="L3" s="159">
        <v>2961850.84</v>
      </c>
      <c r="M3" s="159">
        <v>52424.76</v>
      </c>
      <c r="N3">
        <v>3014275.5999999996</v>
      </c>
      <c r="O3" s="159">
        <v>0</v>
      </c>
      <c r="P3" s="159">
        <v>3014275.6</v>
      </c>
      <c r="Q3" s="159">
        <v>753568.9</v>
      </c>
      <c r="R3" s="159">
        <v>404121.02</v>
      </c>
      <c r="S3" s="159">
        <v>1856585.68</v>
      </c>
    </row>
    <row r="4" spans="1:19" x14ac:dyDescent="0.25">
      <c r="A4" t="s">
        <v>564</v>
      </c>
      <c r="B4" t="s">
        <v>565</v>
      </c>
      <c r="C4" t="s">
        <v>492</v>
      </c>
      <c r="D4">
        <v>2702000</v>
      </c>
      <c r="E4">
        <v>0.75</v>
      </c>
      <c r="F4">
        <v>0.25</v>
      </c>
      <c r="G4" s="157">
        <v>0.17875871139655641</v>
      </c>
      <c r="H4" s="157" t="s">
        <v>312</v>
      </c>
      <c r="I4" t="s">
        <v>604</v>
      </c>
      <c r="J4" t="s">
        <v>607</v>
      </c>
      <c r="K4">
        <v>1.5582241187718648</v>
      </c>
      <c r="L4" s="159">
        <v>4210321.57</v>
      </c>
      <c r="M4" s="159">
        <v>74522.69</v>
      </c>
      <c r="N4">
        <v>4284844.2600000007</v>
      </c>
      <c r="O4" s="159">
        <v>0</v>
      </c>
      <c r="P4" s="159">
        <v>4284844.26</v>
      </c>
      <c r="Q4" s="159">
        <v>1071211.06</v>
      </c>
      <c r="R4" s="159">
        <v>574464.93000000005</v>
      </c>
      <c r="S4" s="159">
        <v>2639168.27</v>
      </c>
    </row>
    <row r="5" spans="1:19" x14ac:dyDescent="0.25">
      <c r="A5" t="s">
        <v>566</v>
      </c>
      <c r="B5" t="s">
        <v>567</v>
      </c>
      <c r="C5" t="s">
        <v>492</v>
      </c>
      <c r="D5">
        <v>2916000</v>
      </c>
      <c r="E5">
        <v>0.75</v>
      </c>
      <c r="F5">
        <v>0.25</v>
      </c>
      <c r="G5" s="157">
        <v>0.17875871139655641</v>
      </c>
      <c r="H5" s="157" t="s">
        <v>312</v>
      </c>
      <c r="I5" t="s">
        <v>604</v>
      </c>
      <c r="J5" t="s">
        <v>607</v>
      </c>
      <c r="K5">
        <v>1.5582241187718648</v>
      </c>
      <c r="L5" s="159">
        <v>4543781.53</v>
      </c>
      <c r="M5" s="159">
        <v>80424.929999999993</v>
      </c>
      <c r="N5">
        <v>4624206.46</v>
      </c>
      <c r="O5" s="159">
        <v>0</v>
      </c>
      <c r="P5" s="159">
        <v>4624206.46</v>
      </c>
      <c r="Q5" s="159">
        <v>1156051.6200000001</v>
      </c>
      <c r="R5" s="159">
        <v>619962.89</v>
      </c>
      <c r="S5" s="159">
        <v>2848191.95</v>
      </c>
    </row>
    <row r="6" spans="1:19" x14ac:dyDescent="0.25">
      <c r="A6" t="s">
        <v>568</v>
      </c>
      <c r="B6" t="s">
        <v>569</v>
      </c>
      <c r="C6" t="s">
        <v>492</v>
      </c>
      <c r="D6">
        <v>1258000</v>
      </c>
      <c r="E6">
        <v>0.75</v>
      </c>
      <c r="F6">
        <v>0.25</v>
      </c>
      <c r="G6" s="157">
        <v>0.17875871139655641</v>
      </c>
      <c r="H6" s="157" t="s">
        <v>312</v>
      </c>
      <c r="I6" t="s">
        <v>604</v>
      </c>
      <c r="J6" t="s">
        <v>608</v>
      </c>
      <c r="K6">
        <v>1.5582241187718648</v>
      </c>
      <c r="L6" s="159">
        <v>1960245.94</v>
      </c>
      <c r="M6" s="159">
        <v>34696.35</v>
      </c>
      <c r="N6">
        <v>1994942.29</v>
      </c>
      <c r="O6" s="159">
        <v>0</v>
      </c>
      <c r="P6" s="159">
        <v>1994942.29</v>
      </c>
      <c r="Q6" s="159">
        <v>498735.57</v>
      </c>
      <c r="R6" s="159">
        <v>267459.99</v>
      </c>
      <c r="S6" s="159">
        <v>1228746.73</v>
      </c>
    </row>
    <row r="7" spans="1:19" x14ac:dyDescent="0.25">
      <c r="A7" t="s">
        <v>526</v>
      </c>
      <c r="B7" t="s">
        <v>527</v>
      </c>
      <c r="C7" t="s">
        <v>492</v>
      </c>
      <c r="D7">
        <v>17312000</v>
      </c>
      <c r="E7">
        <v>0</v>
      </c>
      <c r="F7">
        <v>1</v>
      </c>
      <c r="G7" s="157">
        <v>0</v>
      </c>
      <c r="H7" s="157" t="s">
        <v>310</v>
      </c>
      <c r="I7" t="s">
        <v>604</v>
      </c>
      <c r="J7" t="s">
        <v>609</v>
      </c>
      <c r="K7">
        <v>1.2485947775530337</v>
      </c>
      <c r="L7" s="159">
        <v>21615672.789999999</v>
      </c>
      <c r="M7" s="159">
        <v>382597.41</v>
      </c>
      <c r="N7">
        <v>21998270.199999999</v>
      </c>
      <c r="O7" s="159">
        <v>0</v>
      </c>
      <c r="P7" s="159">
        <v>21998270.199999999</v>
      </c>
      <c r="Q7" s="159">
        <v>21998270.199999999</v>
      </c>
      <c r="R7" s="159">
        <v>0</v>
      </c>
      <c r="S7" s="159">
        <v>0</v>
      </c>
    </row>
    <row r="8" spans="1:19" x14ac:dyDescent="0.25">
      <c r="A8" t="s">
        <v>495</v>
      </c>
      <c r="B8" t="s">
        <v>496</v>
      </c>
      <c r="C8" t="s">
        <v>492</v>
      </c>
      <c r="D8">
        <v>4319000</v>
      </c>
      <c r="E8">
        <v>0.75</v>
      </c>
      <c r="F8">
        <v>0.25</v>
      </c>
      <c r="G8" s="157">
        <v>0.17875871139655641</v>
      </c>
      <c r="H8" s="157" t="s">
        <v>309</v>
      </c>
      <c r="I8" t="s">
        <v>604</v>
      </c>
      <c r="J8" t="s">
        <v>610</v>
      </c>
      <c r="K8">
        <v>1.1176795634665413</v>
      </c>
      <c r="L8" s="159">
        <v>4827258.03</v>
      </c>
      <c r="M8" s="159">
        <v>85442.47</v>
      </c>
      <c r="N8">
        <v>4912700.5</v>
      </c>
      <c r="O8" s="159">
        <v>0</v>
      </c>
      <c r="P8" s="159">
        <v>4912700.5</v>
      </c>
      <c r="Q8" s="159">
        <v>1228175.1200000001</v>
      </c>
      <c r="R8" s="159">
        <v>658641.01</v>
      </c>
      <c r="S8" s="159">
        <v>3025884.37</v>
      </c>
    </row>
    <row r="9" spans="1:19" x14ac:dyDescent="0.25">
      <c r="A9" t="s">
        <v>528</v>
      </c>
      <c r="B9" t="s">
        <v>529</v>
      </c>
      <c r="C9" t="s">
        <v>492</v>
      </c>
      <c r="D9">
        <v>1315000</v>
      </c>
      <c r="E9">
        <v>0.75</v>
      </c>
      <c r="F9">
        <v>0.25</v>
      </c>
      <c r="G9" s="157">
        <v>0.17875871139655641</v>
      </c>
      <c r="H9" s="157" t="s">
        <v>310</v>
      </c>
      <c r="I9" t="s">
        <v>604</v>
      </c>
      <c r="J9" t="s">
        <v>610</v>
      </c>
      <c r="K9">
        <v>1.2485947775530337</v>
      </c>
      <c r="L9" s="159">
        <v>1641902.13</v>
      </c>
      <c r="M9" s="159">
        <v>29061.67</v>
      </c>
      <c r="N9">
        <v>1670963.7999999998</v>
      </c>
      <c r="O9" s="159">
        <v>0</v>
      </c>
      <c r="P9" s="159">
        <v>1670963.8</v>
      </c>
      <c r="Q9" s="159">
        <v>417740.95</v>
      </c>
      <c r="R9" s="159">
        <v>224024.5</v>
      </c>
      <c r="S9" s="159">
        <v>1029198.35</v>
      </c>
    </row>
    <row r="10" spans="1:19" x14ac:dyDescent="0.25">
      <c r="A10" t="s">
        <v>530</v>
      </c>
      <c r="B10" t="s">
        <v>531</v>
      </c>
      <c r="C10" t="s">
        <v>492</v>
      </c>
      <c r="D10">
        <v>956000</v>
      </c>
      <c r="E10">
        <v>0.75</v>
      </c>
      <c r="F10">
        <v>0.25</v>
      </c>
      <c r="G10" s="157">
        <v>0.17875871139655641</v>
      </c>
      <c r="H10" s="157" t="s">
        <v>310</v>
      </c>
      <c r="I10" t="s">
        <v>604</v>
      </c>
      <c r="J10" t="s">
        <v>610</v>
      </c>
      <c r="K10">
        <v>1.2485947775530337</v>
      </c>
      <c r="L10" s="159">
        <v>1193656.6100000001</v>
      </c>
      <c r="M10" s="159">
        <v>21127.72</v>
      </c>
      <c r="N10">
        <v>1214784.33</v>
      </c>
      <c r="O10" s="159">
        <v>0</v>
      </c>
      <c r="P10" s="159">
        <v>1214784.33</v>
      </c>
      <c r="Q10" s="159">
        <v>303696.08</v>
      </c>
      <c r="R10" s="159">
        <v>162864.95999999999</v>
      </c>
      <c r="S10" s="159">
        <v>748223.29</v>
      </c>
    </row>
    <row r="11" spans="1:19" x14ac:dyDescent="0.25">
      <c r="A11" t="s">
        <v>532</v>
      </c>
      <c r="B11" t="s">
        <v>533</v>
      </c>
      <c r="C11" t="s">
        <v>492</v>
      </c>
      <c r="D11">
        <v>1168000</v>
      </c>
      <c r="E11">
        <v>0.75</v>
      </c>
      <c r="F11">
        <v>0.25</v>
      </c>
      <c r="G11" s="157">
        <v>0.17875871139655641</v>
      </c>
      <c r="H11" s="157" t="s">
        <v>310</v>
      </c>
      <c r="I11" t="s">
        <v>604</v>
      </c>
      <c r="J11" t="s">
        <v>610</v>
      </c>
      <c r="K11">
        <v>1.2485947775530337</v>
      </c>
      <c r="L11" s="159">
        <v>1458358.7</v>
      </c>
      <c r="M11" s="159">
        <v>25812.95</v>
      </c>
      <c r="N11">
        <v>1484171.65</v>
      </c>
      <c r="O11" s="159">
        <v>0</v>
      </c>
      <c r="P11" s="159">
        <v>1484171.65</v>
      </c>
      <c r="Q11" s="159">
        <v>371042.91</v>
      </c>
      <c r="R11" s="159">
        <v>198981.46</v>
      </c>
      <c r="S11" s="159">
        <v>914147.28</v>
      </c>
    </row>
    <row r="12" spans="1:19" x14ac:dyDescent="0.25">
      <c r="A12" t="s">
        <v>534</v>
      </c>
      <c r="B12" t="s">
        <v>535</v>
      </c>
      <c r="C12" t="s">
        <v>492</v>
      </c>
      <c r="D12">
        <v>1004000</v>
      </c>
      <c r="E12">
        <v>0.75</v>
      </c>
      <c r="F12">
        <v>0.25</v>
      </c>
      <c r="G12" s="157">
        <v>0.17875871139655641</v>
      </c>
      <c r="H12" s="157" t="s">
        <v>310</v>
      </c>
      <c r="I12" t="s">
        <v>604</v>
      </c>
      <c r="J12" t="s">
        <v>610</v>
      </c>
      <c r="K12">
        <v>1.2485947775530337</v>
      </c>
      <c r="L12" s="159">
        <v>1253589.1599999999</v>
      </c>
      <c r="M12" s="159">
        <v>22188.53</v>
      </c>
      <c r="N12">
        <v>1275777.69</v>
      </c>
      <c r="O12" s="159">
        <v>0</v>
      </c>
      <c r="P12" s="159">
        <v>1275777.69</v>
      </c>
      <c r="Q12" s="159">
        <v>318944.42</v>
      </c>
      <c r="R12" s="159">
        <v>171042.28</v>
      </c>
      <c r="S12" s="159">
        <v>785790.99</v>
      </c>
    </row>
    <row r="13" spans="1:19" x14ac:dyDescent="0.25">
      <c r="A13" t="s">
        <v>497</v>
      </c>
      <c r="B13" t="s">
        <v>498</v>
      </c>
      <c r="C13" t="s">
        <v>465</v>
      </c>
      <c r="D13">
        <v>2249000</v>
      </c>
      <c r="E13">
        <v>0</v>
      </c>
      <c r="F13">
        <v>1</v>
      </c>
      <c r="G13" s="157">
        <v>0</v>
      </c>
      <c r="H13" s="157" t="s">
        <v>309</v>
      </c>
      <c r="I13" t="s">
        <v>604</v>
      </c>
      <c r="J13" t="s">
        <v>611</v>
      </c>
      <c r="K13">
        <v>1.1176795634665413</v>
      </c>
      <c r="L13" s="159">
        <v>2513661.34</v>
      </c>
      <c r="M13" s="159">
        <v>44491.81</v>
      </c>
      <c r="N13">
        <v>2558153.15</v>
      </c>
      <c r="O13" s="159">
        <v>0</v>
      </c>
      <c r="P13" s="159">
        <v>2558153.15</v>
      </c>
      <c r="Q13" s="159">
        <v>2558153.15</v>
      </c>
      <c r="R13" s="159">
        <v>0</v>
      </c>
      <c r="S13" s="159">
        <v>0</v>
      </c>
    </row>
    <row r="14" spans="1:19" x14ac:dyDescent="0.25">
      <c r="A14" t="s">
        <v>499</v>
      </c>
      <c r="B14" t="s">
        <v>500</v>
      </c>
      <c r="C14" t="s">
        <v>465</v>
      </c>
      <c r="D14">
        <v>236000</v>
      </c>
      <c r="E14">
        <v>0</v>
      </c>
      <c r="F14">
        <v>1</v>
      </c>
      <c r="G14" s="157">
        <v>0</v>
      </c>
      <c r="H14" s="157" t="s">
        <v>309</v>
      </c>
      <c r="I14" t="s">
        <v>604</v>
      </c>
      <c r="J14" t="s">
        <v>617</v>
      </c>
      <c r="K14">
        <v>1.1176795634665413</v>
      </c>
      <c r="L14" s="159">
        <v>263772.38</v>
      </c>
      <c r="M14" s="159">
        <v>4668.7700000000004</v>
      </c>
      <c r="N14">
        <v>268441.15000000002</v>
      </c>
      <c r="O14" s="159">
        <v>0</v>
      </c>
      <c r="P14" s="159">
        <v>268441.15000000002</v>
      </c>
      <c r="Q14" s="159">
        <v>268441.15000000002</v>
      </c>
      <c r="R14" s="159">
        <v>0</v>
      </c>
      <c r="S14" s="159">
        <v>0</v>
      </c>
    </row>
    <row r="15" spans="1:19" x14ac:dyDescent="0.25">
      <c r="A15" t="s">
        <v>501</v>
      </c>
      <c r="B15" t="s">
        <v>502</v>
      </c>
      <c r="C15" t="s">
        <v>465</v>
      </c>
      <c r="D15">
        <v>277000</v>
      </c>
      <c r="E15">
        <v>0</v>
      </c>
      <c r="F15">
        <v>1</v>
      </c>
      <c r="G15" s="157">
        <v>0</v>
      </c>
      <c r="H15" s="157" t="s">
        <v>309</v>
      </c>
      <c r="I15" t="s">
        <v>604</v>
      </c>
      <c r="J15" t="s">
        <v>620</v>
      </c>
      <c r="K15">
        <v>1.1176795634665413</v>
      </c>
      <c r="L15" s="159">
        <v>309597.24</v>
      </c>
      <c r="M15" s="159">
        <v>5479.87</v>
      </c>
      <c r="N15">
        <v>315077.11</v>
      </c>
      <c r="O15" s="159">
        <v>0</v>
      </c>
      <c r="P15" s="159">
        <v>315077.11</v>
      </c>
      <c r="Q15" s="159">
        <v>315077.11</v>
      </c>
      <c r="R15" s="159">
        <v>0</v>
      </c>
      <c r="S15" s="159">
        <v>0</v>
      </c>
    </row>
    <row r="16" spans="1:19" x14ac:dyDescent="0.25">
      <c r="A16" t="s">
        <v>463</v>
      </c>
      <c r="B16" t="s">
        <v>464</v>
      </c>
      <c r="C16" t="s">
        <v>465</v>
      </c>
      <c r="D16">
        <v>395000</v>
      </c>
      <c r="E16">
        <v>0</v>
      </c>
      <c r="F16">
        <v>1</v>
      </c>
      <c r="G16" s="157">
        <v>0</v>
      </c>
      <c r="H16" s="157" t="s">
        <v>308</v>
      </c>
      <c r="I16" t="s">
        <v>604</v>
      </c>
      <c r="J16" t="s">
        <v>621</v>
      </c>
      <c r="L16" s="159"/>
      <c r="M16" s="159"/>
      <c r="O16" s="159"/>
      <c r="P16" s="159"/>
      <c r="Q16" s="159"/>
      <c r="R16" s="159"/>
      <c r="S16" s="159"/>
    </row>
    <row r="17" spans="1:19" x14ac:dyDescent="0.25">
      <c r="A17" t="s">
        <v>466</v>
      </c>
      <c r="B17" t="s">
        <v>467</v>
      </c>
      <c r="C17" t="s">
        <v>465</v>
      </c>
      <c r="D17">
        <v>3585000</v>
      </c>
      <c r="E17">
        <v>0</v>
      </c>
      <c r="F17">
        <v>1</v>
      </c>
      <c r="G17" s="157">
        <v>0</v>
      </c>
      <c r="H17" s="157" t="s">
        <v>308</v>
      </c>
      <c r="I17" t="s">
        <v>604</v>
      </c>
      <c r="J17" t="s">
        <v>622</v>
      </c>
      <c r="L17" s="159"/>
      <c r="M17" s="159"/>
      <c r="O17" s="159"/>
      <c r="P17" s="159"/>
      <c r="Q17" s="159"/>
      <c r="R17" s="159"/>
      <c r="S17" s="159"/>
    </row>
    <row r="18" spans="1:19" x14ac:dyDescent="0.25">
      <c r="A18" t="s">
        <v>503</v>
      </c>
      <c r="B18" t="s">
        <v>504</v>
      </c>
      <c r="C18" t="s">
        <v>465</v>
      </c>
      <c r="D18">
        <v>2272000</v>
      </c>
      <c r="E18">
        <v>0</v>
      </c>
      <c r="F18">
        <v>1</v>
      </c>
      <c r="G18" s="157">
        <v>0</v>
      </c>
      <c r="H18" s="157" t="s">
        <v>309</v>
      </c>
      <c r="I18" t="s">
        <v>604</v>
      </c>
      <c r="J18" t="s">
        <v>622</v>
      </c>
      <c r="K18">
        <v>1.1176795634665413</v>
      </c>
      <c r="L18" s="159">
        <v>2539367.9700000002</v>
      </c>
      <c r="M18" s="159">
        <v>44946.81</v>
      </c>
      <c r="N18">
        <v>2584314.7800000003</v>
      </c>
      <c r="O18" s="159">
        <v>0</v>
      </c>
      <c r="P18" s="159">
        <v>2584314.7799999998</v>
      </c>
      <c r="Q18" s="159">
        <v>2584314.7799999998</v>
      </c>
      <c r="R18" s="159">
        <v>0</v>
      </c>
      <c r="S18" s="159">
        <v>0</v>
      </c>
    </row>
    <row r="19" spans="1:19" x14ac:dyDescent="0.25">
      <c r="A19" t="s">
        <v>468</v>
      </c>
      <c r="B19" t="s">
        <v>469</v>
      </c>
      <c r="C19" t="s">
        <v>465</v>
      </c>
      <c r="D19">
        <v>8117000</v>
      </c>
      <c r="E19">
        <v>1</v>
      </c>
      <c r="F19">
        <v>0</v>
      </c>
      <c r="G19" s="157">
        <v>0.17875871139655641</v>
      </c>
      <c r="H19" s="157" t="s">
        <v>308</v>
      </c>
      <c r="I19" t="s">
        <v>604</v>
      </c>
      <c r="J19" t="s">
        <v>625</v>
      </c>
      <c r="L19" s="159"/>
      <c r="M19" s="159"/>
      <c r="O19" s="159"/>
      <c r="P19" s="159"/>
      <c r="Q19" s="159"/>
      <c r="R19" s="159"/>
      <c r="S19" s="159"/>
    </row>
    <row r="20" spans="1:19" x14ac:dyDescent="0.25">
      <c r="A20" t="s">
        <v>536</v>
      </c>
      <c r="B20" t="s">
        <v>537</v>
      </c>
      <c r="C20" t="s">
        <v>465</v>
      </c>
      <c r="D20">
        <v>7994000</v>
      </c>
      <c r="E20">
        <v>1</v>
      </c>
      <c r="F20">
        <v>0</v>
      </c>
      <c r="G20" s="157">
        <v>0.17875871139655641</v>
      </c>
      <c r="H20" s="157" t="s">
        <v>310</v>
      </c>
      <c r="I20" t="s">
        <v>604</v>
      </c>
      <c r="J20" t="s">
        <v>625</v>
      </c>
      <c r="K20">
        <v>1.2485947775530337</v>
      </c>
      <c r="L20" s="159">
        <v>9981266.6500000004</v>
      </c>
      <c r="M20" s="159">
        <v>176668.42</v>
      </c>
      <c r="N20">
        <v>10157935.07</v>
      </c>
      <c r="O20" s="159">
        <v>0</v>
      </c>
      <c r="P20" s="159">
        <v>10157935.07</v>
      </c>
      <c r="Q20" s="159">
        <v>0</v>
      </c>
      <c r="R20" s="159">
        <v>1815819.38</v>
      </c>
      <c r="S20" s="159">
        <v>8342115.6900000004</v>
      </c>
    </row>
    <row r="21" spans="1:19" x14ac:dyDescent="0.25">
      <c r="A21" t="s">
        <v>538</v>
      </c>
      <c r="B21" t="s">
        <v>539</v>
      </c>
      <c r="C21" t="s">
        <v>465</v>
      </c>
      <c r="D21">
        <v>4953000</v>
      </c>
      <c r="E21">
        <v>1</v>
      </c>
      <c r="F21">
        <v>0</v>
      </c>
      <c r="G21" s="157">
        <v>0.17875871139655641</v>
      </c>
      <c r="H21" s="157" t="s">
        <v>310</v>
      </c>
      <c r="I21" t="s">
        <v>604</v>
      </c>
      <c r="J21" t="s">
        <v>625</v>
      </c>
      <c r="K21">
        <v>1.2485947775530337</v>
      </c>
      <c r="L21" s="159">
        <v>6184289.9299999997</v>
      </c>
      <c r="M21" s="159">
        <v>109461.93</v>
      </c>
      <c r="N21">
        <v>6293751.8599999994</v>
      </c>
      <c r="O21" s="159">
        <v>0</v>
      </c>
      <c r="P21" s="159">
        <v>6293751.8600000003</v>
      </c>
      <c r="Q21" s="159">
        <v>0</v>
      </c>
      <c r="R21" s="159">
        <v>1125062.97</v>
      </c>
      <c r="S21" s="159">
        <v>5168688.8899999997</v>
      </c>
    </row>
    <row r="22" spans="1:19" x14ac:dyDescent="0.25">
      <c r="A22" t="s">
        <v>540</v>
      </c>
      <c r="B22" t="s">
        <v>541</v>
      </c>
      <c r="C22" t="s">
        <v>465</v>
      </c>
      <c r="D22">
        <v>839000</v>
      </c>
      <c r="E22">
        <v>1</v>
      </c>
      <c r="F22">
        <v>0</v>
      </c>
      <c r="G22" s="157">
        <v>0.17875871139655641</v>
      </c>
      <c r="H22" s="157" t="s">
        <v>310</v>
      </c>
      <c r="I22" t="s">
        <v>604</v>
      </c>
      <c r="J22" t="s">
        <v>625</v>
      </c>
      <c r="K22">
        <v>1.2485947775530337</v>
      </c>
      <c r="L22" s="159">
        <v>1047571.02</v>
      </c>
      <c r="M22" s="159">
        <v>18542.009999999998</v>
      </c>
      <c r="N22">
        <v>1066113.03</v>
      </c>
      <c r="O22" s="159">
        <v>0</v>
      </c>
      <c r="P22" s="159">
        <v>1066113.03</v>
      </c>
      <c r="Q22" s="159">
        <v>0</v>
      </c>
      <c r="R22" s="159">
        <v>190576.99</v>
      </c>
      <c r="S22" s="159">
        <v>875536.04</v>
      </c>
    </row>
    <row r="23" spans="1:19" x14ac:dyDescent="0.25">
      <c r="A23" t="s">
        <v>542</v>
      </c>
      <c r="B23" t="s">
        <v>543</v>
      </c>
      <c r="C23" t="s">
        <v>465</v>
      </c>
      <c r="D23">
        <v>100000</v>
      </c>
      <c r="E23">
        <v>0</v>
      </c>
      <c r="F23">
        <v>1</v>
      </c>
      <c r="G23" s="157">
        <v>0</v>
      </c>
      <c r="H23" s="157" t="s">
        <v>310</v>
      </c>
      <c r="I23" t="s">
        <v>604</v>
      </c>
      <c r="J23" t="s">
        <v>626</v>
      </c>
      <c r="K23">
        <v>1.2485947775530337</v>
      </c>
      <c r="L23" s="159">
        <v>124859.48</v>
      </c>
      <c r="M23" s="159">
        <v>2210.0100000000002</v>
      </c>
      <c r="N23">
        <v>127069.48999999999</v>
      </c>
      <c r="O23" s="159">
        <v>0</v>
      </c>
      <c r="P23" s="159">
        <v>127069.49</v>
      </c>
      <c r="Q23" s="159">
        <v>127069.49</v>
      </c>
      <c r="R23" s="159">
        <v>0</v>
      </c>
      <c r="S23" s="159">
        <v>0</v>
      </c>
    </row>
    <row r="24" spans="1:19" x14ac:dyDescent="0.25">
      <c r="A24" t="s">
        <v>544</v>
      </c>
      <c r="B24" t="s">
        <v>545</v>
      </c>
      <c r="C24" t="s">
        <v>465</v>
      </c>
      <c r="D24">
        <v>420000</v>
      </c>
      <c r="E24">
        <v>1</v>
      </c>
      <c r="F24">
        <v>0</v>
      </c>
      <c r="G24" s="157">
        <v>0.17875871139655644</v>
      </c>
      <c r="H24" s="157" t="s">
        <v>310</v>
      </c>
      <c r="I24" t="s">
        <v>604</v>
      </c>
      <c r="J24" t="s">
        <v>625</v>
      </c>
      <c r="K24">
        <v>1.2485947775530337</v>
      </c>
      <c r="L24" s="159">
        <v>524409.81000000006</v>
      </c>
      <c r="M24" s="159">
        <v>9282.0499999999993</v>
      </c>
      <c r="N24">
        <v>533691.8600000001</v>
      </c>
      <c r="O24" s="159">
        <v>0</v>
      </c>
      <c r="P24" s="159">
        <v>533691.86</v>
      </c>
      <c r="Q24" s="159">
        <v>0</v>
      </c>
      <c r="R24" s="159">
        <v>95402.07</v>
      </c>
      <c r="S24" s="159">
        <v>438289.79</v>
      </c>
    </row>
    <row r="25" spans="1:19" x14ac:dyDescent="0.25">
      <c r="A25" t="s">
        <v>546</v>
      </c>
      <c r="B25" t="s">
        <v>547</v>
      </c>
      <c r="C25" t="s">
        <v>465</v>
      </c>
      <c r="D25">
        <v>2233000</v>
      </c>
      <c r="E25">
        <v>0.75</v>
      </c>
      <c r="F25">
        <v>0.25</v>
      </c>
      <c r="G25" s="157">
        <v>0.17875871139655641</v>
      </c>
      <c r="H25" s="157" t="s">
        <v>310</v>
      </c>
      <c r="I25" t="s">
        <v>604</v>
      </c>
      <c r="J25" t="s">
        <v>627</v>
      </c>
      <c r="K25">
        <v>1.2485947775530337</v>
      </c>
      <c r="L25" s="159">
        <v>2788112.14</v>
      </c>
      <c r="M25" s="159">
        <v>49349.58</v>
      </c>
      <c r="N25">
        <v>2837461.72</v>
      </c>
      <c r="O25" s="159">
        <v>0</v>
      </c>
      <c r="P25" s="159">
        <v>2837461.72</v>
      </c>
      <c r="Q25" s="159">
        <v>709365.43</v>
      </c>
      <c r="R25" s="159">
        <v>380415.75</v>
      </c>
      <c r="S25" s="159">
        <v>1747680.54</v>
      </c>
    </row>
    <row r="26" spans="1:19" x14ac:dyDescent="0.25">
      <c r="A26" t="s">
        <v>548</v>
      </c>
      <c r="B26" t="s">
        <v>549</v>
      </c>
      <c r="C26" t="s">
        <v>465</v>
      </c>
      <c r="D26">
        <v>882000</v>
      </c>
      <c r="E26">
        <v>0.75</v>
      </c>
      <c r="F26">
        <v>0.25</v>
      </c>
      <c r="G26" s="157">
        <v>0.17875871139655641</v>
      </c>
      <c r="H26" s="157" t="s">
        <v>310</v>
      </c>
      <c r="I26" t="s">
        <v>604</v>
      </c>
      <c r="J26" t="s">
        <v>627</v>
      </c>
      <c r="K26">
        <v>1.2485947775530337</v>
      </c>
      <c r="L26" s="159">
        <v>1101260.5900000001</v>
      </c>
      <c r="M26" s="159">
        <v>19492.310000000001</v>
      </c>
      <c r="N26">
        <v>1120752.9000000001</v>
      </c>
      <c r="O26" s="159">
        <v>0</v>
      </c>
      <c r="P26" s="159">
        <v>1120752.8999999999</v>
      </c>
      <c r="Q26" s="159">
        <v>280188.21999999997</v>
      </c>
      <c r="R26" s="159">
        <v>150258.26</v>
      </c>
      <c r="S26" s="159">
        <v>690306.42</v>
      </c>
    </row>
    <row r="27" spans="1:19" x14ac:dyDescent="0.25">
      <c r="A27" t="s">
        <v>570</v>
      </c>
      <c r="B27" t="s">
        <v>571</v>
      </c>
      <c r="C27" t="s">
        <v>465</v>
      </c>
      <c r="D27">
        <v>38000</v>
      </c>
      <c r="E27">
        <v>0</v>
      </c>
      <c r="F27">
        <v>1</v>
      </c>
      <c r="G27" s="157">
        <v>0</v>
      </c>
      <c r="H27" s="157" t="s">
        <v>312</v>
      </c>
      <c r="I27" t="s">
        <v>604</v>
      </c>
      <c r="J27" t="s">
        <v>628</v>
      </c>
      <c r="K27">
        <v>1.5582241187718648</v>
      </c>
      <c r="L27" s="159">
        <v>59212.52</v>
      </c>
      <c r="M27" s="159">
        <v>1048.06</v>
      </c>
      <c r="N27">
        <v>60260.579999999994</v>
      </c>
      <c r="O27" s="159">
        <v>0</v>
      </c>
      <c r="P27" s="159">
        <v>60260.58</v>
      </c>
      <c r="Q27" s="159">
        <v>60260.58</v>
      </c>
      <c r="R27" s="159">
        <v>0</v>
      </c>
      <c r="S27" s="159">
        <v>0</v>
      </c>
    </row>
    <row r="28" spans="1:19" x14ac:dyDescent="0.25">
      <c r="A28" t="s">
        <v>470</v>
      </c>
      <c r="B28" t="s">
        <v>471</v>
      </c>
      <c r="C28" t="s">
        <v>465</v>
      </c>
      <c r="D28">
        <v>6209000</v>
      </c>
      <c r="E28">
        <v>0.40605296343001263</v>
      </c>
      <c r="F28">
        <v>0.59394703656998737</v>
      </c>
      <c r="G28" s="157">
        <v>0.17875871139655641</v>
      </c>
      <c r="H28" s="157" t="s">
        <v>308</v>
      </c>
      <c r="I28" t="s">
        <v>629</v>
      </c>
      <c r="J28" t="s">
        <v>630</v>
      </c>
      <c r="L28" s="159"/>
      <c r="M28" s="159"/>
      <c r="O28" s="159"/>
      <c r="P28" s="159"/>
      <c r="Q28" s="159"/>
      <c r="R28" s="159"/>
      <c r="S28" s="159"/>
    </row>
    <row r="29" spans="1:19" x14ac:dyDescent="0.25">
      <c r="A29" t="s">
        <v>505</v>
      </c>
      <c r="B29" t="s">
        <v>506</v>
      </c>
      <c r="C29" t="s">
        <v>465</v>
      </c>
      <c r="D29">
        <v>5069000</v>
      </c>
      <c r="E29">
        <v>0</v>
      </c>
      <c r="F29">
        <v>1</v>
      </c>
      <c r="G29" s="157">
        <v>0</v>
      </c>
      <c r="H29" s="157" t="s">
        <v>309</v>
      </c>
      <c r="I29" t="s">
        <v>604</v>
      </c>
      <c r="J29" t="s">
        <v>609</v>
      </c>
      <c r="K29">
        <v>1.1176795634665413</v>
      </c>
      <c r="L29" s="159">
        <v>5665517.71</v>
      </c>
      <c r="M29" s="159">
        <v>100279.66</v>
      </c>
      <c r="N29">
        <v>5765797.3700000001</v>
      </c>
      <c r="O29" s="159">
        <v>0</v>
      </c>
      <c r="P29" s="159">
        <v>5765797.3700000001</v>
      </c>
      <c r="Q29" s="159">
        <v>5765797.3700000001</v>
      </c>
      <c r="R29" s="159">
        <v>0</v>
      </c>
      <c r="S29" s="159">
        <v>0</v>
      </c>
    </row>
    <row r="30" spans="1:19" x14ac:dyDescent="0.25">
      <c r="A30" t="s">
        <v>507</v>
      </c>
      <c r="B30" t="s">
        <v>508</v>
      </c>
      <c r="C30" t="s">
        <v>509</v>
      </c>
      <c r="D30">
        <v>3512000</v>
      </c>
      <c r="E30">
        <v>0</v>
      </c>
      <c r="F30">
        <v>1</v>
      </c>
      <c r="G30" s="157">
        <v>0</v>
      </c>
      <c r="H30" s="157" t="s">
        <v>309</v>
      </c>
      <c r="I30" t="s">
        <v>604</v>
      </c>
      <c r="J30" t="s">
        <v>633</v>
      </c>
      <c r="K30">
        <v>1.1176795634665413</v>
      </c>
      <c r="L30" s="159">
        <v>3925290.63</v>
      </c>
      <c r="M30" s="159">
        <v>69477.64</v>
      </c>
      <c r="N30">
        <v>3994768.27</v>
      </c>
      <c r="O30" s="159">
        <v>0</v>
      </c>
      <c r="P30" s="159">
        <v>3994768.27</v>
      </c>
      <c r="Q30" s="159">
        <v>3994768.27</v>
      </c>
      <c r="R30" s="159">
        <v>0</v>
      </c>
      <c r="S30" s="159">
        <v>0</v>
      </c>
    </row>
    <row r="31" spans="1:19" x14ac:dyDescent="0.25">
      <c r="A31" t="s">
        <v>510</v>
      </c>
      <c r="B31" t="s">
        <v>511</v>
      </c>
      <c r="C31" t="s">
        <v>509</v>
      </c>
      <c r="D31">
        <v>3429000</v>
      </c>
      <c r="E31">
        <v>0</v>
      </c>
      <c r="F31">
        <v>1</v>
      </c>
      <c r="G31" s="157">
        <v>0</v>
      </c>
      <c r="H31" s="157" t="s">
        <v>309</v>
      </c>
      <c r="I31" t="s">
        <v>604</v>
      </c>
      <c r="J31" t="s">
        <v>633</v>
      </c>
      <c r="K31">
        <v>1.1176795634665413</v>
      </c>
      <c r="L31" s="159">
        <v>3832523.22</v>
      </c>
      <c r="M31" s="159">
        <v>67835.66</v>
      </c>
      <c r="N31">
        <v>3900358.8800000004</v>
      </c>
      <c r="O31" s="159">
        <v>0</v>
      </c>
      <c r="P31" s="159">
        <v>3900358.88</v>
      </c>
      <c r="Q31" s="159">
        <v>3900358.88</v>
      </c>
      <c r="R31" s="159">
        <v>0</v>
      </c>
      <c r="S31" s="159">
        <v>0</v>
      </c>
    </row>
    <row r="32" spans="1:19" x14ac:dyDescent="0.25">
      <c r="A32" t="s">
        <v>512</v>
      </c>
      <c r="B32" t="s">
        <v>513</v>
      </c>
      <c r="C32" t="s">
        <v>509</v>
      </c>
      <c r="D32">
        <v>5801000</v>
      </c>
      <c r="E32">
        <v>0</v>
      </c>
      <c r="F32">
        <v>1</v>
      </c>
      <c r="G32" s="157">
        <v>0</v>
      </c>
      <c r="H32" s="157" t="s">
        <v>309</v>
      </c>
      <c r="I32" t="s">
        <v>604</v>
      </c>
      <c r="J32" t="s">
        <v>633</v>
      </c>
      <c r="K32">
        <v>1.1176795634665413</v>
      </c>
      <c r="L32" s="159">
        <v>6483659.1500000004</v>
      </c>
      <c r="M32" s="159">
        <v>114760.77</v>
      </c>
      <c r="N32">
        <v>6598419.9199999999</v>
      </c>
      <c r="O32" s="159">
        <v>0</v>
      </c>
      <c r="P32" s="159">
        <v>6598419.9199999999</v>
      </c>
      <c r="Q32" s="159">
        <v>6598419.9199999999</v>
      </c>
      <c r="R32" s="159">
        <v>0</v>
      </c>
      <c r="S32" s="159">
        <v>0</v>
      </c>
    </row>
    <row r="33" spans="1:19" x14ac:dyDescent="0.25">
      <c r="A33" t="s">
        <v>514</v>
      </c>
      <c r="B33" t="s">
        <v>515</v>
      </c>
      <c r="C33" t="s">
        <v>509</v>
      </c>
      <c r="D33">
        <v>3740000</v>
      </c>
      <c r="E33">
        <v>0</v>
      </c>
      <c r="F33">
        <v>1</v>
      </c>
      <c r="G33" s="157">
        <v>0</v>
      </c>
      <c r="H33" s="157" t="s">
        <v>309</v>
      </c>
      <c r="I33" t="s">
        <v>604</v>
      </c>
      <c r="J33" t="s">
        <v>633</v>
      </c>
      <c r="K33">
        <v>1.1176795634665413</v>
      </c>
      <c r="L33" s="159">
        <v>4180121.57</v>
      </c>
      <c r="M33" s="159">
        <v>73988.149999999994</v>
      </c>
      <c r="N33">
        <v>4254109.72</v>
      </c>
      <c r="O33" s="159">
        <v>0</v>
      </c>
      <c r="P33" s="159">
        <v>4254109.72</v>
      </c>
      <c r="Q33" s="159">
        <v>4254109.72</v>
      </c>
      <c r="R33" s="159">
        <v>0</v>
      </c>
      <c r="S33" s="159">
        <v>0</v>
      </c>
    </row>
    <row r="34" spans="1:19" x14ac:dyDescent="0.25">
      <c r="A34" t="s">
        <v>550</v>
      </c>
      <c r="B34" t="s">
        <v>551</v>
      </c>
      <c r="C34" t="s">
        <v>509</v>
      </c>
      <c r="D34">
        <v>6104000</v>
      </c>
      <c r="E34">
        <v>0.75</v>
      </c>
      <c r="F34">
        <v>0.25</v>
      </c>
      <c r="G34" s="157">
        <v>0.17875871139655641</v>
      </c>
      <c r="H34" s="157" t="s">
        <v>310</v>
      </c>
      <c r="I34" t="s">
        <v>604</v>
      </c>
      <c r="J34" t="s">
        <v>634</v>
      </c>
      <c r="K34">
        <v>1.2485947775530337</v>
      </c>
      <c r="L34" s="159">
        <v>7621422.5199999996</v>
      </c>
      <c r="M34" s="159">
        <v>134899.18</v>
      </c>
      <c r="N34">
        <v>7756321.6999999993</v>
      </c>
      <c r="O34" s="159">
        <v>0</v>
      </c>
      <c r="P34" s="159">
        <v>7756321.7000000002</v>
      </c>
      <c r="Q34" s="159">
        <v>1939080.42</v>
      </c>
      <c r="R34" s="159">
        <v>1039882.56</v>
      </c>
      <c r="S34" s="159">
        <v>4777358.72</v>
      </c>
    </row>
    <row r="35" spans="1:19" x14ac:dyDescent="0.25">
      <c r="A35" t="s">
        <v>516</v>
      </c>
      <c r="B35" t="s">
        <v>517</v>
      </c>
      <c r="C35" t="s">
        <v>509</v>
      </c>
      <c r="D35">
        <v>1649000</v>
      </c>
      <c r="E35">
        <v>0</v>
      </c>
      <c r="F35">
        <v>1</v>
      </c>
      <c r="G35" s="157">
        <v>0</v>
      </c>
      <c r="H35" s="157" t="s">
        <v>309</v>
      </c>
      <c r="I35" t="s">
        <v>604</v>
      </c>
      <c r="J35" t="s">
        <v>635</v>
      </c>
      <c r="K35">
        <v>1.1176795634665413</v>
      </c>
      <c r="L35" s="159">
        <v>1843053.6</v>
      </c>
      <c r="M35" s="159">
        <v>32622.05</v>
      </c>
      <c r="N35">
        <v>1875675.6500000001</v>
      </c>
      <c r="O35" s="159">
        <v>0</v>
      </c>
      <c r="P35" s="159">
        <v>1875675.65</v>
      </c>
      <c r="Q35" s="159">
        <v>1875675.65</v>
      </c>
      <c r="R35" s="159">
        <v>0</v>
      </c>
      <c r="S35" s="159">
        <v>0</v>
      </c>
    </row>
    <row r="36" spans="1:19" x14ac:dyDescent="0.25">
      <c r="A36" t="s">
        <v>572</v>
      </c>
      <c r="B36" t="s">
        <v>573</v>
      </c>
      <c r="C36" t="s">
        <v>509</v>
      </c>
      <c r="D36">
        <v>6290000</v>
      </c>
      <c r="E36">
        <v>0</v>
      </c>
      <c r="F36">
        <v>1</v>
      </c>
      <c r="G36" s="157">
        <v>0</v>
      </c>
      <c r="H36" s="157" t="s">
        <v>312</v>
      </c>
      <c r="I36" t="s">
        <v>604</v>
      </c>
      <c r="J36" t="s">
        <v>636</v>
      </c>
      <c r="K36">
        <v>1.5582241187718648</v>
      </c>
      <c r="L36" s="159">
        <v>9801229.7100000009</v>
      </c>
      <c r="M36" s="159">
        <v>173481.77</v>
      </c>
      <c r="N36">
        <v>9974711.4800000004</v>
      </c>
      <c r="O36" s="159">
        <v>0</v>
      </c>
      <c r="P36" s="159">
        <v>9974711.4800000004</v>
      </c>
      <c r="Q36" s="159">
        <v>9974711.4800000004</v>
      </c>
      <c r="R36" s="159">
        <v>0</v>
      </c>
      <c r="S36" s="159">
        <v>0</v>
      </c>
    </row>
    <row r="37" spans="1:19" x14ac:dyDescent="0.25">
      <c r="A37" t="s">
        <v>518</v>
      </c>
      <c r="B37" t="s">
        <v>519</v>
      </c>
      <c r="C37" t="s">
        <v>509</v>
      </c>
      <c r="D37">
        <v>420000</v>
      </c>
      <c r="E37">
        <v>0</v>
      </c>
      <c r="F37">
        <v>1</v>
      </c>
      <c r="G37" s="157">
        <v>0</v>
      </c>
      <c r="H37" s="157" t="s">
        <v>309</v>
      </c>
      <c r="I37" t="s">
        <v>604</v>
      </c>
      <c r="J37" t="s">
        <v>637</v>
      </c>
      <c r="K37">
        <v>1.1176795634665413</v>
      </c>
      <c r="L37" s="159">
        <v>469425.42</v>
      </c>
      <c r="M37" s="159">
        <v>8308.83</v>
      </c>
      <c r="N37">
        <v>477734.25</v>
      </c>
      <c r="O37" s="159">
        <v>0</v>
      </c>
      <c r="P37" s="159">
        <v>477734.25</v>
      </c>
      <c r="Q37" s="159">
        <v>477734.25</v>
      </c>
      <c r="R37" s="159">
        <v>0</v>
      </c>
      <c r="S37" s="159">
        <v>0</v>
      </c>
    </row>
    <row r="38" spans="1:19" x14ac:dyDescent="0.25">
      <c r="A38" t="s">
        <v>562</v>
      </c>
      <c r="B38" t="s">
        <v>563</v>
      </c>
      <c r="C38" t="s">
        <v>474</v>
      </c>
      <c r="D38">
        <v>65516000</v>
      </c>
      <c r="E38">
        <v>0.36899402471965298</v>
      </c>
      <c r="F38">
        <v>0.63100597528034708</v>
      </c>
      <c r="G38" s="157">
        <v>0.17875871139655641</v>
      </c>
      <c r="H38" s="157" t="s">
        <v>311</v>
      </c>
      <c r="I38" t="s">
        <v>629</v>
      </c>
      <c r="J38" t="s">
        <v>638</v>
      </c>
      <c r="K38">
        <v>1.3948442554478002</v>
      </c>
      <c r="L38" s="159">
        <v>91384616.239999995</v>
      </c>
      <c r="M38" s="159">
        <v>1617507.71</v>
      </c>
      <c r="N38">
        <v>93002123.949999988</v>
      </c>
      <c r="O38" s="159">
        <v>0</v>
      </c>
      <c r="P38" s="159">
        <v>93002123.950000003</v>
      </c>
      <c r="Q38" s="159">
        <v>58684895.93</v>
      </c>
      <c r="R38" s="159">
        <v>6134503.46</v>
      </c>
      <c r="S38" s="159">
        <v>28182724.559999999</v>
      </c>
    </row>
    <row r="39" spans="1:19" x14ac:dyDescent="0.25">
      <c r="A39" t="s">
        <v>574</v>
      </c>
      <c r="B39" t="s">
        <v>575</v>
      </c>
      <c r="C39" t="s">
        <v>474</v>
      </c>
      <c r="D39">
        <v>16228000</v>
      </c>
      <c r="E39">
        <v>0.36899402471965298</v>
      </c>
      <c r="F39">
        <v>0.63100597528034708</v>
      </c>
      <c r="G39" s="157">
        <v>0.17875871139655641</v>
      </c>
      <c r="H39" s="157" t="s">
        <v>312</v>
      </c>
      <c r="I39" t="s">
        <v>629</v>
      </c>
      <c r="J39" t="s">
        <v>638</v>
      </c>
      <c r="K39">
        <v>1.5582241187718648</v>
      </c>
      <c r="L39" s="159">
        <v>25286861</v>
      </c>
      <c r="M39" s="159">
        <v>447577.44</v>
      </c>
      <c r="N39">
        <v>25734438.440000001</v>
      </c>
      <c r="O39" s="159">
        <v>0</v>
      </c>
      <c r="P39" s="159">
        <v>25734438.440000001</v>
      </c>
      <c r="Q39" s="159">
        <v>16238584.43</v>
      </c>
      <c r="R39" s="159">
        <v>1697466.63</v>
      </c>
      <c r="S39" s="159">
        <v>7798387.3799999999</v>
      </c>
    </row>
    <row r="40" spans="1:19" x14ac:dyDescent="0.25">
      <c r="A40" t="s">
        <v>576</v>
      </c>
      <c r="B40" t="s">
        <v>577</v>
      </c>
      <c r="C40" t="s">
        <v>474</v>
      </c>
      <c r="D40">
        <v>21800000</v>
      </c>
      <c r="E40">
        <v>0.47037094043404648</v>
      </c>
      <c r="F40">
        <v>0.52962905956595352</v>
      </c>
      <c r="G40" s="157">
        <v>0.17875871139655641</v>
      </c>
      <c r="H40" s="157" t="s">
        <v>312</v>
      </c>
      <c r="I40" t="s">
        <v>629</v>
      </c>
      <c r="J40" t="s">
        <v>642</v>
      </c>
      <c r="K40">
        <v>1.5582241187718648</v>
      </c>
      <c r="L40" s="159">
        <v>33969285.789999999</v>
      </c>
      <c r="M40" s="159">
        <v>601256.36</v>
      </c>
      <c r="N40">
        <v>34570542.149999999</v>
      </c>
      <c r="O40" s="159">
        <v>0</v>
      </c>
      <c r="P40" s="159">
        <v>34570542.149999999</v>
      </c>
      <c r="Q40" s="159">
        <v>18309563.73</v>
      </c>
      <c r="R40" s="159">
        <v>2906791.55</v>
      </c>
      <c r="S40" s="159">
        <v>13354186.869999999</v>
      </c>
    </row>
    <row r="41" spans="1:19" x14ac:dyDescent="0.25">
      <c r="A41" t="s">
        <v>578</v>
      </c>
      <c r="B41" t="s">
        <v>579</v>
      </c>
      <c r="C41" t="s">
        <v>474</v>
      </c>
      <c r="D41">
        <v>11779000</v>
      </c>
      <c r="E41">
        <v>0.47037094043404648</v>
      </c>
      <c r="F41">
        <v>0.52962905956595352</v>
      </c>
      <c r="G41" s="157">
        <v>0.17875871139655641</v>
      </c>
      <c r="H41" s="157" t="s">
        <v>312</v>
      </c>
      <c r="I41" t="s">
        <v>629</v>
      </c>
      <c r="J41" t="s">
        <v>642</v>
      </c>
      <c r="K41">
        <v>1.5582241187718648</v>
      </c>
      <c r="L41" s="159">
        <v>18354321.899999999</v>
      </c>
      <c r="M41" s="159">
        <v>324871.5</v>
      </c>
      <c r="N41">
        <v>18679193.399999999</v>
      </c>
      <c r="O41" s="159">
        <v>0</v>
      </c>
      <c r="P41" s="159">
        <v>18679193.399999999</v>
      </c>
      <c r="Q41" s="159">
        <v>9893043.6300000008</v>
      </c>
      <c r="R41" s="159">
        <v>1570600.81</v>
      </c>
      <c r="S41" s="159">
        <v>7215548.96</v>
      </c>
    </row>
    <row r="42" spans="1:19" x14ac:dyDescent="0.25">
      <c r="A42" t="s">
        <v>552</v>
      </c>
      <c r="B42" t="s">
        <v>553</v>
      </c>
      <c r="C42" t="s">
        <v>474</v>
      </c>
      <c r="D42">
        <v>1045000</v>
      </c>
      <c r="E42">
        <v>0.47037094043404648</v>
      </c>
      <c r="F42">
        <v>0.52962905956595352</v>
      </c>
      <c r="G42" s="157">
        <v>0.17875871139655641</v>
      </c>
      <c r="H42" s="157" t="s">
        <v>310</v>
      </c>
      <c r="I42" t="s">
        <v>629</v>
      </c>
      <c r="J42" t="s">
        <v>638</v>
      </c>
      <c r="K42">
        <v>1.2485947775530337</v>
      </c>
      <c r="L42" s="159">
        <v>1304781.54</v>
      </c>
      <c r="M42" s="159">
        <v>23094.63</v>
      </c>
      <c r="N42">
        <v>1327876.17</v>
      </c>
      <c r="O42" s="159">
        <v>0</v>
      </c>
      <c r="P42" s="159">
        <v>1327876.17</v>
      </c>
      <c r="Q42" s="159">
        <v>703281.81</v>
      </c>
      <c r="R42" s="159">
        <v>111651.68</v>
      </c>
      <c r="S42" s="159">
        <v>512942.68</v>
      </c>
    </row>
    <row r="43" spans="1:19" x14ac:dyDescent="0.25">
      <c r="A43" t="s">
        <v>554</v>
      </c>
      <c r="B43" t="s">
        <v>555</v>
      </c>
      <c r="C43" t="s">
        <v>474</v>
      </c>
      <c r="D43">
        <v>629000</v>
      </c>
      <c r="E43">
        <v>0.47037094043404648</v>
      </c>
      <c r="F43">
        <v>0.52962905956595352</v>
      </c>
      <c r="G43" s="157">
        <v>0.17875871139655641</v>
      </c>
      <c r="H43" s="157" t="s">
        <v>310</v>
      </c>
      <c r="I43" t="s">
        <v>629</v>
      </c>
      <c r="J43" t="s">
        <v>638</v>
      </c>
      <c r="K43">
        <v>1.2485947775530337</v>
      </c>
      <c r="L43" s="159">
        <v>785366.12</v>
      </c>
      <c r="M43" s="159">
        <v>13900.98</v>
      </c>
      <c r="N43">
        <v>799267.1</v>
      </c>
      <c r="O43" s="159">
        <v>0</v>
      </c>
      <c r="P43" s="159">
        <v>799267.1</v>
      </c>
      <c r="Q43" s="159">
        <v>423315.08</v>
      </c>
      <c r="R43" s="159">
        <v>67204.7</v>
      </c>
      <c r="S43" s="159">
        <v>308747.32</v>
      </c>
    </row>
    <row r="44" spans="1:19" x14ac:dyDescent="0.25">
      <c r="A44" t="s">
        <v>556</v>
      </c>
      <c r="B44" t="s">
        <v>557</v>
      </c>
      <c r="C44" t="s">
        <v>474</v>
      </c>
      <c r="D44">
        <v>8067000</v>
      </c>
      <c r="E44">
        <v>0.74022988505747134</v>
      </c>
      <c r="F44">
        <v>0.25977011494252866</v>
      </c>
      <c r="G44" s="157">
        <v>0.17875871139655641</v>
      </c>
      <c r="H44" s="157" t="s">
        <v>310</v>
      </c>
      <c r="I44" t="s">
        <v>629</v>
      </c>
      <c r="J44" t="s">
        <v>643</v>
      </c>
      <c r="K44">
        <v>1.2485947775530337</v>
      </c>
      <c r="L44" s="159">
        <v>10072414.07</v>
      </c>
      <c r="M44" s="159">
        <v>178281.73</v>
      </c>
      <c r="N44">
        <v>10250695.800000001</v>
      </c>
      <c r="O44" s="159">
        <v>0</v>
      </c>
      <c r="P44" s="159">
        <v>10250695.800000001</v>
      </c>
      <c r="Q44" s="159">
        <v>2662824.4300000002</v>
      </c>
      <c r="R44" s="159">
        <v>1356398.11</v>
      </c>
      <c r="S44" s="159">
        <v>6231473.2599999998</v>
      </c>
    </row>
    <row r="45" spans="1:19" x14ac:dyDescent="0.25">
      <c r="A45" t="s">
        <v>558</v>
      </c>
      <c r="B45" t="s">
        <v>559</v>
      </c>
      <c r="C45" t="s">
        <v>474</v>
      </c>
      <c r="D45">
        <v>9156000</v>
      </c>
      <c r="E45">
        <v>0.74022988505747134</v>
      </c>
      <c r="F45">
        <v>0.25977011494252866</v>
      </c>
      <c r="G45" s="157">
        <v>0.17875871139655641</v>
      </c>
      <c r="H45" s="157" t="s">
        <v>310</v>
      </c>
      <c r="I45" t="s">
        <v>629</v>
      </c>
      <c r="J45" t="s">
        <v>643</v>
      </c>
      <c r="K45">
        <v>1.2485947775530337</v>
      </c>
      <c r="L45" s="159">
        <v>11432133.779999999</v>
      </c>
      <c r="M45" s="159">
        <v>202348.77</v>
      </c>
      <c r="N45">
        <v>11634482.549999999</v>
      </c>
      <c r="O45" s="159">
        <v>0</v>
      </c>
      <c r="P45" s="159">
        <v>11634482.550000001</v>
      </c>
      <c r="Q45" s="159">
        <v>3022290.87</v>
      </c>
      <c r="R45" s="159">
        <v>1539504.29</v>
      </c>
      <c r="S45" s="159">
        <v>7072687.3899999997</v>
      </c>
    </row>
    <row r="46" spans="1:19" x14ac:dyDescent="0.25">
      <c r="A46" t="s">
        <v>560</v>
      </c>
      <c r="B46" t="s">
        <v>561</v>
      </c>
      <c r="C46" t="s">
        <v>474</v>
      </c>
      <c r="D46">
        <v>1310000</v>
      </c>
      <c r="E46">
        <v>0.74022988505747134</v>
      </c>
      <c r="F46">
        <v>0.25977011494252866</v>
      </c>
      <c r="G46" s="157">
        <v>0.17875871139655641</v>
      </c>
      <c r="H46" s="157" t="s">
        <v>310</v>
      </c>
      <c r="I46" t="s">
        <v>629</v>
      </c>
      <c r="J46" t="s">
        <v>643</v>
      </c>
      <c r="K46">
        <v>1.2485947775530337</v>
      </c>
      <c r="L46" s="159">
        <v>1635659.16</v>
      </c>
      <c r="M46" s="159">
        <v>28951.17</v>
      </c>
      <c r="N46">
        <v>1664610.3299999998</v>
      </c>
      <c r="O46" s="159">
        <v>0</v>
      </c>
      <c r="P46" s="159">
        <v>1664610.33</v>
      </c>
      <c r="Q46" s="159">
        <v>432416.02</v>
      </c>
      <c r="R46" s="159">
        <v>220265.47</v>
      </c>
      <c r="S46" s="159">
        <v>1011928.84</v>
      </c>
    </row>
    <row r="47" spans="1:19" x14ac:dyDescent="0.25">
      <c r="A47" t="s">
        <v>472</v>
      </c>
      <c r="B47" t="s">
        <v>473</v>
      </c>
      <c r="C47" t="s">
        <v>474</v>
      </c>
      <c r="D47">
        <v>628000</v>
      </c>
      <c r="E47">
        <v>0</v>
      </c>
      <c r="F47">
        <v>1</v>
      </c>
      <c r="G47" s="157">
        <v>0</v>
      </c>
      <c r="H47" s="157" t="s">
        <v>308</v>
      </c>
      <c r="I47" t="s">
        <v>604</v>
      </c>
      <c r="J47" t="s">
        <v>637</v>
      </c>
      <c r="L47" s="159"/>
      <c r="M47" s="159"/>
      <c r="O47" s="159"/>
      <c r="P47" s="159"/>
      <c r="Q47" s="159"/>
      <c r="R47" s="159"/>
      <c r="S47" s="159"/>
    </row>
    <row r="48" spans="1:19" x14ac:dyDescent="0.25">
      <c r="A48" t="s">
        <v>475</v>
      </c>
      <c r="B48" t="s">
        <v>476</v>
      </c>
      <c r="C48" t="s">
        <v>474</v>
      </c>
      <c r="D48">
        <v>61000</v>
      </c>
      <c r="E48">
        <v>0</v>
      </c>
      <c r="F48">
        <v>1</v>
      </c>
      <c r="G48" s="157">
        <v>0</v>
      </c>
      <c r="H48" s="157" t="s">
        <v>308</v>
      </c>
      <c r="I48" t="s">
        <v>604</v>
      </c>
      <c r="J48" t="s">
        <v>637</v>
      </c>
      <c r="L48" s="159"/>
      <c r="M48" s="159"/>
      <c r="O48" s="159"/>
      <c r="P48" s="159"/>
      <c r="Q48" s="159"/>
      <c r="R48" s="159"/>
      <c r="S48" s="159"/>
    </row>
    <row r="49" spans="1:19" x14ac:dyDescent="0.25">
      <c r="A49" t="s">
        <v>520</v>
      </c>
      <c r="B49" t="s">
        <v>521</v>
      </c>
      <c r="C49" t="s">
        <v>474</v>
      </c>
      <c r="D49">
        <v>4752000</v>
      </c>
      <c r="E49">
        <v>0.75</v>
      </c>
      <c r="F49">
        <v>0.25</v>
      </c>
      <c r="G49" s="157">
        <v>0.17875871139655641</v>
      </c>
      <c r="H49" s="157" t="s">
        <v>309</v>
      </c>
      <c r="I49" t="s">
        <v>604</v>
      </c>
      <c r="J49" t="s">
        <v>652</v>
      </c>
      <c r="K49">
        <v>1.1176795634665413</v>
      </c>
      <c r="L49" s="159">
        <v>5311213.29</v>
      </c>
      <c r="M49" s="159">
        <v>94008.48</v>
      </c>
      <c r="N49">
        <v>5405221.7700000005</v>
      </c>
      <c r="O49" s="159">
        <v>0</v>
      </c>
      <c r="P49" s="159">
        <v>5405221.7699999996</v>
      </c>
      <c r="Q49" s="159">
        <v>1351305.44</v>
      </c>
      <c r="R49" s="159">
        <v>724672.86</v>
      </c>
      <c r="S49" s="159">
        <v>3329243.47</v>
      </c>
    </row>
    <row r="50" spans="1:19" x14ac:dyDescent="0.25">
      <c r="A50" t="s">
        <v>477</v>
      </c>
      <c r="B50" t="s">
        <v>478</v>
      </c>
      <c r="C50" t="s">
        <v>479</v>
      </c>
      <c r="D50">
        <v>50000</v>
      </c>
      <c r="E50">
        <v>0.5</v>
      </c>
      <c r="F50">
        <v>0.5</v>
      </c>
      <c r="G50" s="157">
        <v>0.17875871139655644</v>
      </c>
      <c r="H50" s="157" t="s">
        <v>308</v>
      </c>
      <c r="I50" t="s">
        <v>604</v>
      </c>
      <c r="J50" t="s">
        <v>653</v>
      </c>
      <c r="L50" s="159"/>
      <c r="M50" s="159"/>
      <c r="O50" s="159"/>
      <c r="P50" s="159"/>
      <c r="Q50" s="159"/>
      <c r="R50" s="159"/>
      <c r="S50" s="159"/>
    </row>
    <row r="51" spans="1:19" x14ac:dyDescent="0.25">
      <c r="A51" t="s">
        <v>480</v>
      </c>
      <c r="B51" t="s">
        <v>481</v>
      </c>
      <c r="C51" t="s">
        <v>479</v>
      </c>
      <c r="D51">
        <v>50000</v>
      </c>
      <c r="E51">
        <v>0.5</v>
      </c>
      <c r="F51">
        <v>0.5</v>
      </c>
      <c r="G51" s="157">
        <v>0.17875871139655644</v>
      </c>
      <c r="H51" s="157" t="s">
        <v>308</v>
      </c>
      <c r="I51" t="s">
        <v>604</v>
      </c>
      <c r="J51" t="s">
        <v>654</v>
      </c>
      <c r="L51" s="159"/>
      <c r="M51" s="159"/>
      <c r="O51" s="159"/>
      <c r="P51" s="159"/>
      <c r="Q51" s="159"/>
      <c r="R51" s="159"/>
      <c r="S51" s="159"/>
    </row>
    <row r="52" spans="1:19" x14ac:dyDescent="0.25">
      <c r="A52" t="s">
        <v>522</v>
      </c>
      <c r="B52" t="s">
        <v>523</v>
      </c>
      <c r="C52" t="s">
        <v>479</v>
      </c>
      <c r="D52">
        <v>50000</v>
      </c>
      <c r="E52">
        <v>0.5</v>
      </c>
      <c r="F52">
        <v>0.5</v>
      </c>
      <c r="G52" s="157">
        <v>0.17875871139655644</v>
      </c>
      <c r="H52" s="157" t="s">
        <v>309</v>
      </c>
      <c r="I52" t="s">
        <v>604</v>
      </c>
      <c r="J52" t="s">
        <v>655</v>
      </c>
      <c r="K52">
        <v>1.1176795634665413</v>
      </c>
      <c r="L52" s="159">
        <v>55883.98</v>
      </c>
      <c r="M52" s="159">
        <v>989.15</v>
      </c>
      <c r="N52">
        <v>56873.130000000005</v>
      </c>
      <c r="O52" s="159">
        <v>0</v>
      </c>
      <c r="P52" s="159">
        <v>56873.13</v>
      </c>
      <c r="Q52" s="159">
        <v>28436.560000000001</v>
      </c>
      <c r="R52" s="159">
        <v>5083.28</v>
      </c>
      <c r="S52" s="159">
        <v>23353.29</v>
      </c>
    </row>
    <row r="53" spans="1:19" x14ac:dyDescent="0.25">
      <c r="A53" t="s">
        <v>524</v>
      </c>
      <c r="B53" t="s">
        <v>525</v>
      </c>
      <c r="C53" t="s">
        <v>479</v>
      </c>
      <c r="D53">
        <v>50000</v>
      </c>
      <c r="E53">
        <v>0.5</v>
      </c>
      <c r="F53">
        <v>0.5</v>
      </c>
      <c r="G53" s="157">
        <v>0.17875871139655644</v>
      </c>
      <c r="H53" s="157" t="s">
        <v>309</v>
      </c>
      <c r="I53" t="s">
        <v>604</v>
      </c>
      <c r="J53" t="s">
        <v>655</v>
      </c>
      <c r="K53">
        <v>1.1176795634665413</v>
      </c>
      <c r="L53" s="159">
        <v>55883.98</v>
      </c>
      <c r="M53" s="159">
        <v>989.15</v>
      </c>
      <c r="N53">
        <v>56873.130000000005</v>
      </c>
      <c r="O53" s="159">
        <v>0</v>
      </c>
      <c r="P53" s="159">
        <v>56873.13</v>
      </c>
      <c r="Q53" s="159">
        <v>28436.560000000001</v>
      </c>
      <c r="R53" s="159">
        <v>5083.28</v>
      </c>
      <c r="S53" s="159">
        <v>23353.29</v>
      </c>
    </row>
    <row r="54" spans="1:19" x14ac:dyDescent="0.25">
      <c r="A54" t="s">
        <v>482</v>
      </c>
      <c r="B54" t="s">
        <v>483</v>
      </c>
      <c r="C54" t="s">
        <v>479</v>
      </c>
      <c r="D54">
        <v>100000</v>
      </c>
      <c r="E54">
        <v>0.5</v>
      </c>
      <c r="F54">
        <v>0.5</v>
      </c>
      <c r="G54" s="157">
        <v>0.17875871139655644</v>
      </c>
      <c r="H54" s="157" t="s">
        <v>308</v>
      </c>
      <c r="I54" t="s">
        <v>604</v>
      </c>
      <c r="J54" t="s">
        <v>656</v>
      </c>
      <c r="L54" s="159"/>
      <c r="M54" s="159"/>
      <c r="O54" s="159"/>
      <c r="P54" s="159"/>
      <c r="Q54" s="159"/>
      <c r="R54" s="159"/>
      <c r="S54" s="159"/>
    </row>
    <row r="55" spans="1:19" x14ac:dyDescent="0.25">
      <c r="A55" t="s">
        <v>484</v>
      </c>
      <c r="B55" t="s">
        <v>485</v>
      </c>
      <c r="C55" t="s">
        <v>479</v>
      </c>
      <c r="D55">
        <v>200000</v>
      </c>
      <c r="E55">
        <v>0.5</v>
      </c>
      <c r="F55">
        <v>0.5</v>
      </c>
      <c r="G55" s="157">
        <v>0.17875871139655644</v>
      </c>
      <c r="H55" s="157" t="s">
        <v>308</v>
      </c>
      <c r="I55" t="s">
        <v>604</v>
      </c>
      <c r="J55" t="s">
        <v>655</v>
      </c>
      <c r="L55" s="159"/>
      <c r="M55" s="159"/>
      <c r="O55" s="159"/>
      <c r="P55" s="159"/>
      <c r="Q55" s="159"/>
      <c r="R55" s="159"/>
      <c r="S55" s="159"/>
    </row>
    <row r="56" spans="1:19" x14ac:dyDescent="0.25">
      <c r="A56" t="s">
        <v>486</v>
      </c>
      <c r="B56" t="s">
        <v>487</v>
      </c>
      <c r="C56" t="s">
        <v>479</v>
      </c>
      <c r="D56">
        <v>50000</v>
      </c>
      <c r="E56">
        <v>0.5</v>
      </c>
      <c r="F56">
        <v>0.5</v>
      </c>
      <c r="G56" s="157">
        <v>0.17875871139655644</v>
      </c>
      <c r="H56" s="157" t="s">
        <v>308</v>
      </c>
      <c r="I56" t="s">
        <v>604</v>
      </c>
      <c r="J56" t="s">
        <v>655</v>
      </c>
      <c r="L56" s="159"/>
      <c r="M56" s="159"/>
      <c r="O56" s="159"/>
      <c r="P56" s="159"/>
      <c r="Q56" s="159"/>
      <c r="R56" s="159"/>
      <c r="S56" s="159"/>
    </row>
    <row r="57" spans="1:19" x14ac:dyDescent="0.25">
      <c r="A57" t="s">
        <v>488</v>
      </c>
      <c r="B57" t="s">
        <v>489</v>
      </c>
      <c r="C57" t="s">
        <v>479</v>
      </c>
      <c r="D57">
        <v>50000</v>
      </c>
      <c r="E57">
        <v>0.5</v>
      </c>
      <c r="F57">
        <v>0.5</v>
      </c>
      <c r="G57" s="157">
        <v>0.17875871139655644</v>
      </c>
      <c r="H57" s="157" t="s">
        <v>308</v>
      </c>
      <c r="I57" t="s">
        <v>604</v>
      </c>
      <c r="J57" t="s">
        <v>655</v>
      </c>
      <c r="L57" s="159"/>
      <c r="M57" s="159"/>
      <c r="O57" s="159"/>
      <c r="P57" s="159"/>
      <c r="Q57" s="159"/>
      <c r="R57" s="159"/>
      <c r="S57" s="159"/>
    </row>
    <row r="58" spans="1:19" x14ac:dyDescent="0.25">
      <c r="A58" t="s">
        <v>580</v>
      </c>
      <c r="B58" t="s">
        <v>581</v>
      </c>
      <c r="C58" t="s">
        <v>479</v>
      </c>
      <c r="D58">
        <v>50000</v>
      </c>
      <c r="E58">
        <v>0.5</v>
      </c>
      <c r="F58">
        <v>0.5</v>
      </c>
      <c r="G58" s="157">
        <v>0.17875871139655644</v>
      </c>
      <c r="H58" s="157" t="s">
        <v>312</v>
      </c>
      <c r="I58" t="s">
        <v>604</v>
      </c>
      <c r="J58" t="s">
        <v>656</v>
      </c>
      <c r="K58">
        <v>1.5582241187718648</v>
      </c>
      <c r="L58" s="159">
        <v>77911.210000000006</v>
      </c>
      <c r="M58" s="159">
        <v>1379.03</v>
      </c>
      <c r="N58">
        <v>79290.240000000005</v>
      </c>
      <c r="O58" s="159">
        <v>0</v>
      </c>
      <c r="P58" s="159">
        <v>79290.240000000005</v>
      </c>
      <c r="Q58" s="159">
        <v>39645.120000000003</v>
      </c>
      <c r="R58" s="159">
        <v>7086.91</v>
      </c>
      <c r="S58" s="159">
        <v>32558.21</v>
      </c>
    </row>
    <row r="59" spans="1:19" x14ac:dyDescent="0.25">
      <c r="A59" t="s">
        <v>7</v>
      </c>
      <c r="G59" s="157"/>
      <c r="H59" s="157"/>
      <c r="L59" s="158">
        <f>SUBTOTAL(109,Water_Periods[Escalated Costs])</f>
        <v>320945601.16000003</v>
      </c>
      <c r="M59" s="158">
        <f>SUBTOTAL(109,Water_Periods[Construction Interest])</f>
        <v>5680737.1500000013</v>
      </c>
      <c r="O59" s="158">
        <f>SUBTOTAL(109,Water_Periods[Fire Protection])</f>
        <v>0</v>
      </c>
      <c r="P59" s="158"/>
      <c r="Q59" s="158">
        <f>SUBTOTAL(109,Water_Periods[Benefit to Existing])</f>
        <v>186711250.67000005</v>
      </c>
      <c r="R59" s="158">
        <f>SUBTOTAL(109,Water_Periods[Post Period Benefit])</f>
        <v>25011040.779999997</v>
      </c>
      <c r="S59" s="158">
        <f>SUBTOTAL(109,Water_Periods[Net Escalated Cost])</f>
        <v>114904046.86000001</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pageSetUpPr fitToPage="1"/>
  </sheetPr>
  <dimension ref="A1:AF120"/>
  <sheetViews>
    <sheetView topLeftCell="D16" zoomScale="75" zoomScaleNormal="75" workbookViewId="0">
      <selection activeCell="K7" sqref="K7"/>
    </sheetView>
  </sheetViews>
  <sheetFormatPr defaultColWidth="8.7265625" defaultRowHeight="27.5" x14ac:dyDescent="0.55000000000000004"/>
  <cols>
    <col min="1" max="1" width="20.453125" style="146" customWidth="1"/>
    <col min="2" max="2" width="28.81640625" style="146" customWidth="1"/>
    <col min="3" max="3" width="17" style="146" customWidth="1"/>
    <col min="4" max="4" width="18.26953125" style="146" customWidth="1"/>
    <col min="5" max="5" width="21.08984375" style="146" bestFit="1" customWidth="1"/>
    <col min="6" max="6" width="23.08984375" style="146" customWidth="1"/>
    <col min="7" max="7" width="24.08984375" style="146" customWidth="1"/>
    <col min="8" max="8" width="20.7265625" style="146" customWidth="1"/>
    <col min="9" max="9" width="23" style="146" customWidth="1"/>
    <col min="10" max="10" width="24.54296875" style="146" bestFit="1" customWidth="1"/>
    <col min="11" max="11" width="23" style="146" bestFit="1" customWidth="1"/>
    <col min="12" max="12" width="20.54296875" style="146" customWidth="1"/>
    <col min="13" max="13" width="30.26953125" style="146" customWidth="1"/>
    <col min="14" max="26" width="20.54296875" style="145" customWidth="1"/>
    <col min="27" max="27" width="20.54296875" style="146" customWidth="1"/>
    <col min="28" max="28" width="8.7265625" style="145"/>
    <col min="29" max="29" width="7.26953125" style="145" bestFit="1" customWidth="1"/>
    <col min="30" max="30" width="8.1796875" style="145" customWidth="1"/>
    <col min="31" max="31" width="10.1796875" style="145" bestFit="1" customWidth="1"/>
    <col min="32" max="32" width="11.1796875" style="145" bestFit="1" customWidth="1"/>
    <col min="33" max="16384" width="8.7265625" style="145"/>
  </cols>
  <sheetData>
    <row r="1" spans="1:32" s="46" customFormat="1" ht="23" x14ac:dyDescent="0.5">
      <c r="A1" s="188" t="s">
        <v>837</v>
      </c>
      <c r="B1" s="188"/>
      <c r="C1" s="188"/>
      <c r="D1" s="56"/>
      <c r="G1" s="47"/>
      <c r="I1" s="165"/>
      <c r="J1" s="166"/>
      <c r="K1" s="178"/>
    </row>
    <row r="2" spans="1:32" s="170" customFormat="1" ht="18" x14ac:dyDescent="0.4">
      <c r="A2" s="167"/>
      <c r="B2" s="167"/>
      <c r="C2" s="167"/>
      <c r="D2" s="168"/>
      <c r="G2" s="171"/>
      <c r="I2" s="172"/>
      <c r="J2" s="173"/>
      <c r="K2" s="179"/>
    </row>
    <row r="3" spans="1:32" s="282" customFormat="1" ht="18.5" x14ac:dyDescent="0.25">
      <c r="A3" s="306"/>
      <c r="B3" s="307"/>
      <c r="C3" s="306"/>
      <c r="D3" s="306"/>
      <c r="E3" s="306"/>
      <c r="F3" s="306"/>
      <c r="G3" s="306"/>
      <c r="H3" s="306"/>
      <c r="I3" s="306"/>
      <c r="J3" s="306"/>
      <c r="K3" s="306"/>
      <c r="L3" s="306"/>
      <c r="M3" s="306"/>
      <c r="N3" s="281"/>
      <c r="O3" s="281"/>
      <c r="P3" s="281"/>
      <c r="Q3" s="281"/>
      <c r="R3" s="281"/>
      <c r="S3" s="281"/>
      <c r="T3" s="281"/>
      <c r="U3" s="281"/>
      <c r="V3" s="281"/>
      <c r="W3" s="281"/>
      <c r="X3" s="281"/>
      <c r="Y3" s="281"/>
      <c r="Z3" s="281"/>
      <c r="AA3" s="306"/>
      <c r="AB3" s="281"/>
      <c r="AC3" s="281"/>
      <c r="AD3" s="281"/>
      <c r="AE3" s="281"/>
      <c r="AF3" s="281"/>
    </row>
    <row r="4" spans="1:32" s="308" customFormat="1" ht="74" x14ac:dyDescent="0.25">
      <c r="A4" s="270" t="s">
        <v>842</v>
      </c>
      <c r="B4" s="270" t="s">
        <v>843</v>
      </c>
      <c r="C4" s="187" t="s">
        <v>841</v>
      </c>
      <c r="D4" s="187" t="s">
        <v>761</v>
      </c>
      <c r="E4" s="187" t="s">
        <v>760</v>
      </c>
      <c r="F4" s="187" t="s">
        <v>759</v>
      </c>
      <c r="G4" s="187" t="s">
        <v>758</v>
      </c>
      <c r="H4" s="187" t="s">
        <v>762</v>
      </c>
      <c r="I4" s="187" t="s">
        <v>861</v>
      </c>
      <c r="J4" s="187" t="s">
        <v>763</v>
      </c>
      <c r="K4" s="187" t="s">
        <v>891</v>
      </c>
      <c r="L4" s="348"/>
      <c r="N4" s="309"/>
      <c r="O4" s="309"/>
      <c r="P4" s="310"/>
      <c r="Q4" s="310"/>
      <c r="R4" s="310"/>
      <c r="S4" s="310"/>
      <c r="T4" s="310"/>
      <c r="U4" s="310"/>
      <c r="V4" s="309"/>
      <c r="W4" s="311"/>
      <c r="X4" s="312"/>
      <c r="Y4" s="313"/>
      <c r="Z4" s="314"/>
      <c r="AA4" s="313"/>
      <c r="AE4" s="315"/>
      <c r="AF4" s="315"/>
    </row>
    <row r="5" spans="1:32" s="282" customFormat="1" ht="18.5" x14ac:dyDescent="0.25">
      <c r="A5" s="316">
        <v>42461</v>
      </c>
      <c r="B5" s="316">
        <v>44286</v>
      </c>
      <c r="C5" s="317">
        <f>(B5-A5)/365.25</f>
        <v>4.9965776865160851</v>
      </c>
      <c r="D5" s="318">
        <f>18548</f>
        <v>18548</v>
      </c>
      <c r="E5" s="318">
        <f t="shared" ref="E5:E10" si="0">ROUND(D5/$G$15,0)</f>
        <v>9092</v>
      </c>
      <c r="F5" s="318">
        <f t="shared" ref="F5:F10" si="1">ROUND(E5*$G$17,0)</f>
        <v>2364</v>
      </c>
      <c r="G5" s="318">
        <f t="shared" ref="G5:G10" si="2">ROUND(E5*$G$18,0)</f>
        <v>6728</v>
      </c>
      <c r="H5" s="318">
        <f>D5</f>
        <v>18548</v>
      </c>
      <c r="I5" s="318">
        <f>ROUND(D5*$G$20,0)</f>
        <v>10788</v>
      </c>
      <c r="J5" s="318">
        <f t="shared" ref="J5:J10" si="3">ROUND(I5*$G$22,0)</f>
        <v>8731013</v>
      </c>
      <c r="K5" s="318">
        <f>I5</f>
        <v>10788</v>
      </c>
      <c r="L5" s="349"/>
      <c r="N5" s="281"/>
      <c r="O5" s="281"/>
      <c r="P5" s="283"/>
      <c r="Q5" s="283"/>
      <c r="R5" s="283"/>
      <c r="S5" s="283"/>
      <c r="T5" s="283"/>
      <c r="U5" s="283"/>
      <c r="V5" s="281"/>
      <c r="W5" s="319"/>
      <c r="X5" s="285"/>
      <c r="Y5" s="286"/>
      <c r="Z5" s="287"/>
      <c r="AA5" s="286"/>
      <c r="AE5" s="288"/>
      <c r="AF5" s="288"/>
    </row>
    <row r="6" spans="1:32" s="282" customFormat="1" ht="18.5" x14ac:dyDescent="0.25">
      <c r="A6" s="316">
        <v>44287</v>
      </c>
      <c r="B6" s="316">
        <v>46112</v>
      </c>
      <c r="C6" s="317">
        <f t="shared" ref="C6:C10" si="4">(B6-A6)/365.25</f>
        <v>4.9965776865160851</v>
      </c>
      <c r="D6" s="318">
        <v>19595</v>
      </c>
      <c r="E6" s="318">
        <f t="shared" si="0"/>
        <v>9605</v>
      </c>
      <c r="F6" s="318">
        <f t="shared" si="1"/>
        <v>2497</v>
      </c>
      <c r="G6" s="318">
        <f t="shared" si="2"/>
        <v>7108</v>
      </c>
      <c r="H6" s="318">
        <f>H5+D6</f>
        <v>38143</v>
      </c>
      <c r="I6" s="318">
        <f t="shared" ref="I6:I10" si="5">ROUND(D6*$G$20,0)</f>
        <v>11397</v>
      </c>
      <c r="J6" s="318">
        <f t="shared" si="3"/>
        <v>9223893</v>
      </c>
      <c r="K6" s="318">
        <f>K5+I6</f>
        <v>22185</v>
      </c>
      <c r="L6" s="349"/>
      <c r="N6" s="281"/>
      <c r="O6" s="281"/>
      <c r="P6" s="283"/>
      <c r="Q6" s="283"/>
      <c r="R6" s="283"/>
      <c r="S6" s="283"/>
      <c r="T6" s="283"/>
      <c r="U6" s="283"/>
      <c r="V6" s="281"/>
      <c r="W6" s="319"/>
      <c r="X6" s="285"/>
      <c r="Y6" s="286"/>
      <c r="Z6" s="287"/>
      <c r="AA6" s="286"/>
      <c r="AE6" s="288"/>
      <c r="AF6" s="288"/>
    </row>
    <row r="7" spans="1:32" s="282" customFormat="1" ht="18.5" x14ac:dyDescent="0.25">
      <c r="A7" s="316">
        <v>46113</v>
      </c>
      <c r="B7" s="316">
        <v>47938</v>
      </c>
      <c r="C7" s="317">
        <f t="shared" si="4"/>
        <v>4.9965776865160851</v>
      </c>
      <c r="D7" s="318">
        <v>21212</v>
      </c>
      <c r="E7" s="318">
        <f t="shared" si="0"/>
        <v>10398</v>
      </c>
      <c r="F7" s="318">
        <f t="shared" si="1"/>
        <v>2703</v>
      </c>
      <c r="G7" s="318">
        <f t="shared" si="2"/>
        <v>7695</v>
      </c>
      <c r="H7" s="318">
        <f>H6+D7</f>
        <v>59355</v>
      </c>
      <c r="I7" s="318">
        <f t="shared" si="5"/>
        <v>12338</v>
      </c>
      <c r="J7" s="318">
        <f t="shared" si="3"/>
        <v>9985469</v>
      </c>
      <c r="K7" s="318">
        <f>K6+I7</f>
        <v>34523</v>
      </c>
      <c r="L7" s="349"/>
      <c r="N7" s="281"/>
      <c r="O7" s="281"/>
      <c r="P7" s="283"/>
      <c r="Q7" s="283"/>
      <c r="R7" s="283"/>
      <c r="S7" s="283"/>
      <c r="T7" s="283"/>
      <c r="U7" s="283"/>
      <c r="V7" s="281"/>
      <c r="W7" s="319"/>
      <c r="X7" s="285"/>
      <c r="Y7" s="286"/>
      <c r="Z7" s="287"/>
      <c r="AA7" s="286"/>
      <c r="AE7" s="288"/>
      <c r="AF7" s="288"/>
    </row>
    <row r="8" spans="1:32" s="282" customFormat="1" ht="18.5" x14ac:dyDescent="0.25">
      <c r="A8" s="316">
        <v>47939</v>
      </c>
      <c r="B8" s="316">
        <v>49765</v>
      </c>
      <c r="C8" s="317">
        <f t="shared" si="4"/>
        <v>4.9993155373032172</v>
      </c>
      <c r="D8" s="320">
        <v>22162</v>
      </c>
      <c r="E8" s="318">
        <f t="shared" si="0"/>
        <v>10864</v>
      </c>
      <c r="F8" s="318">
        <f t="shared" si="1"/>
        <v>2825</v>
      </c>
      <c r="G8" s="318">
        <f t="shared" si="2"/>
        <v>8039</v>
      </c>
      <c r="H8" s="320">
        <f>H7+D8</f>
        <v>81517</v>
      </c>
      <c r="I8" s="318">
        <f t="shared" si="5"/>
        <v>12890</v>
      </c>
      <c r="J8" s="318">
        <f t="shared" si="3"/>
        <v>10432218</v>
      </c>
      <c r="K8" s="320">
        <f>K7+I8</f>
        <v>47413</v>
      </c>
      <c r="L8" s="349"/>
      <c r="N8" s="281"/>
      <c r="O8" s="281"/>
      <c r="P8" s="283"/>
      <c r="Q8" s="283"/>
      <c r="R8" s="283"/>
      <c r="S8" s="283"/>
      <c r="T8" s="283"/>
      <c r="U8" s="283"/>
      <c r="V8" s="281"/>
      <c r="W8" s="319"/>
      <c r="X8" s="285"/>
      <c r="Y8" s="286"/>
      <c r="Z8" s="287"/>
      <c r="AA8" s="286"/>
      <c r="AE8" s="288"/>
      <c r="AF8" s="288"/>
    </row>
    <row r="9" spans="1:32" s="282" customFormat="1" ht="18.5" x14ac:dyDescent="0.25">
      <c r="A9" s="316">
        <v>49766</v>
      </c>
      <c r="B9" s="316">
        <v>51591</v>
      </c>
      <c r="C9" s="317">
        <f t="shared" si="4"/>
        <v>4.9965776865160851</v>
      </c>
      <c r="D9" s="318">
        <f>23727</f>
        <v>23727</v>
      </c>
      <c r="E9" s="318">
        <f t="shared" si="0"/>
        <v>11631</v>
      </c>
      <c r="F9" s="318">
        <f t="shared" si="1"/>
        <v>3024</v>
      </c>
      <c r="G9" s="318">
        <f t="shared" si="2"/>
        <v>8607</v>
      </c>
      <c r="H9" s="318">
        <f>H8+D9</f>
        <v>105244</v>
      </c>
      <c r="I9" s="318">
        <f t="shared" si="5"/>
        <v>13800</v>
      </c>
      <c r="J9" s="318">
        <f t="shared" si="3"/>
        <v>11168705</v>
      </c>
      <c r="K9" s="318">
        <f>K8+I9</f>
        <v>61213</v>
      </c>
      <c r="L9" s="349"/>
      <c r="N9" s="281"/>
      <c r="O9" s="281"/>
      <c r="P9" s="283"/>
      <c r="Q9" s="283"/>
      <c r="R9" s="283"/>
      <c r="S9" s="283"/>
      <c r="T9" s="283"/>
      <c r="U9" s="283"/>
      <c r="V9" s="281"/>
      <c r="W9" s="319"/>
      <c r="X9" s="285"/>
      <c r="Y9" s="286"/>
      <c r="Z9" s="287"/>
      <c r="AA9" s="286"/>
      <c r="AE9" s="288"/>
      <c r="AF9" s="288"/>
    </row>
    <row r="10" spans="1:32" s="282" customFormat="1" ht="19" thickBot="1" x14ac:dyDescent="0.3">
      <c r="A10" s="321">
        <v>51592</v>
      </c>
      <c r="B10" s="321">
        <v>53417</v>
      </c>
      <c r="C10" s="322">
        <f t="shared" si="4"/>
        <v>4.9965776865160851</v>
      </c>
      <c r="D10" s="323">
        <v>25969</v>
      </c>
      <c r="E10" s="324">
        <f t="shared" si="0"/>
        <v>12730</v>
      </c>
      <c r="F10" s="324">
        <f t="shared" si="1"/>
        <v>3310</v>
      </c>
      <c r="G10" s="324">
        <f t="shared" si="2"/>
        <v>9420</v>
      </c>
      <c r="H10" s="323">
        <f>H9+D10</f>
        <v>131213</v>
      </c>
      <c r="I10" s="324">
        <f t="shared" si="5"/>
        <v>15104</v>
      </c>
      <c r="J10" s="324">
        <f t="shared" si="3"/>
        <v>12224066</v>
      </c>
      <c r="K10" s="323">
        <f>K9+I10</f>
        <v>76317</v>
      </c>
      <c r="L10" s="349"/>
      <c r="N10" s="281"/>
      <c r="O10" s="281"/>
      <c r="P10" s="283"/>
      <c r="Q10" s="283"/>
      <c r="R10" s="283"/>
      <c r="S10" s="283"/>
      <c r="T10" s="283"/>
      <c r="U10" s="283"/>
      <c r="V10" s="281"/>
      <c r="W10" s="319"/>
      <c r="X10" s="285"/>
      <c r="Y10" s="286"/>
      <c r="Z10" s="287"/>
      <c r="AA10" s="286"/>
      <c r="AE10" s="288"/>
      <c r="AF10" s="288"/>
    </row>
    <row r="11" spans="1:32" s="282" customFormat="1" ht="19" thickTop="1" x14ac:dyDescent="0.25">
      <c r="B11" s="325" t="s">
        <v>720</v>
      </c>
      <c r="C11" s="325"/>
      <c r="D11" s="326">
        <f t="shared" ref="D11:J11" si="6">SUM(D5:D10)</f>
        <v>131213</v>
      </c>
      <c r="E11" s="326">
        <f>SUM(E5:E10)</f>
        <v>64320</v>
      </c>
      <c r="F11" s="326">
        <f t="shared" si="6"/>
        <v>16723</v>
      </c>
      <c r="G11" s="326">
        <f t="shared" si="6"/>
        <v>47597</v>
      </c>
      <c r="H11" s="326"/>
      <c r="I11" s="326">
        <f>SUM(I5:I10)</f>
        <v>76317</v>
      </c>
      <c r="J11" s="326">
        <f t="shared" si="6"/>
        <v>61765364</v>
      </c>
      <c r="K11" s="327"/>
      <c r="L11" s="306"/>
      <c r="N11" s="281"/>
      <c r="O11" s="281"/>
      <c r="P11" s="283"/>
      <c r="Q11" s="283"/>
      <c r="R11" s="283"/>
      <c r="S11" s="283"/>
      <c r="T11" s="283"/>
      <c r="U11" s="283"/>
      <c r="V11" s="281"/>
      <c r="W11" s="319"/>
      <c r="X11" s="285"/>
      <c r="Y11" s="286"/>
      <c r="Z11" s="287"/>
      <c r="AA11" s="286"/>
      <c r="AE11" s="288"/>
      <c r="AF11" s="288"/>
    </row>
    <row r="12" spans="1:32" s="282" customFormat="1" ht="18.5" x14ac:dyDescent="0.25">
      <c r="A12" s="325"/>
      <c r="B12" s="325"/>
      <c r="C12" s="325"/>
      <c r="D12" s="328"/>
      <c r="E12" s="328"/>
      <c r="F12" s="328"/>
      <c r="G12" s="328"/>
      <c r="H12" s="328"/>
      <c r="I12" s="329"/>
      <c r="J12" s="330"/>
      <c r="K12" s="330"/>
      <c r="L12" s="306"/>
      <c r="M12" s="306"/>
      <c r="N12" s="281"/>
      <c r="O12" s="281"/>
      <c r="P12" s="283"/>
      <c r="Q12" s="283"/>
      <c r="R12" s="283"/>
      <c r="S12" s="283"/>
      <c r="T12" s="283"/>
      <c r="U12" s="283"/>
      <c r="V12" s="281"/>
      <c r="W12" s="319"/>
      <c r="X12" s="285"/>
      <c r="Y12" s="286"/>
      <c r="Z12" s="287"/>
      <c r="AA12" s="286"/>
      <c r="AE12" s="288"/>
      <c r="AF12" s="288"/>
    </row>
    <row r="13" spans="1:32" s="282" customFormat="1" ht="19" customHeight="1" thickBot="1" x14ac:dyDescent="0.3">
      <c r="A13" s="331" t="s">
        <v>853</v>
      </c>
      <c r="B13" s="331"/>
      <c r="C13" s="331"/>
      <c r="D13" s="332"/>
      <c r="E13" s="332"/>
      <c r="G13" s="331" t="s">
        <v>864</v>
      </c>
      <c r="H13" s="333"/>
      <c r="I13" s="334"/>
      <c r="J13" s="335"/>
      <c r="K13" s="306"/>
      <c r="L13" s="306"/>
      <c r="M13" s="306"/>
      <c r="N13" s="281"/>
      <c r="O13" s="281"/>
      <c r="P13" s="283"/>
      <c r="Q13" s="283"/>
      <c r="R13" s="283"/>
      <c r="S13" s="283"/>
      <c r="T13" s="283"/>
      <c r="U13" s="283"/>
      <c r="V13" s="281"/>
      <c r="W13" s="284"/>
      <c r="X13" s="285"/>
      <c r="Y13" s="286"/>
      <c r="Z13" s="287"/>
      <c r="AA13" s="286"/>
      <c r="AE13" s="288"/>
      <c r="AF13" s="288"/>
    </row>
    <row r="14" spans="1:32" s="282" customFormat="1" ht="19" customHeight="1" thickTop="1" x14ac:dyDescent="0.25">
      <c r="A14" s="292"/>
      <c r="B14" s="292"/>
      <c r="C14" s="292"/>
      <c r="D14" s="336" t="s">
        <v>842</v>
      </c>
      <c r="E14" s="336" t="s">
        <v>843</v>
      </c>
      <c r="L14" s="306"/>
      <c r="M14" s="281"/>
      <c r="O14" s="281"/>
      <c r="P14" s="283"/>
      <c r="Q14" s="283"/>
      <c r="R14" s="283"/>
      <c r="S14" s="283"/>
      <c r="T14" s="283"/>
      <c r="U14" s="283"/>
      <c r="V14" s="281"/>
      <c r="W14" s="284"/>
      <c r="X14" s="285"/>
      <c r="Y14" s="286"/>
      <c r="Z14" s="287"/>
      <c r="AA14" s="286"/>
      <c r="AE14" s="288"/>
      <c r="AF14" s="288"/>
    </row>
    <row r="15" spans="1:32" s="282" customFormat="1" ht="20" customHeight="1" x14ac:dyDescent="0.25">
      <c r="A15" s="273" t="s">
        <v>877</v>
      </c>
      <c r="B15" s="273"/>
      <c r="C15" s="274" t="s">
        <v>838</v>
      </c>
      <c r="D15" s="275">
        <f>A5</f>
        <v>42461</v>
      </c>
      <c r="E15" s="275">
        <f>B10</f>
        <v>53417</v>
      </c>
      <c r="F15" s="276"/>
      <c r="G15" s="337">
        <v>2.04</v>
      </c>
      <c r="H15" s="278" t="s">
        <v>757</v>
      </c>
      <c r="I15" s="338"/>
      <c r="K15" s="306"/>
      <c r="L15" s="280"/>
      <c r="M15" s="281"/>
      <c r="O15" s="281"/>
      <c r="P15" s="283"/>
      <c r="Q15" s="283"/>
      <c r="R15" s="283"/>
      <c r="S15" s="283"/>
      <c r="T15" s="283"/>
      <c r="U15" s="283"/>
      <c r="V15" s="281"/>
      <c r="W15" s="284"/>
      <c r="X15" s="285"/>
      <c r="Y15" s="286"/>
      <c r="Z15" s="287"/>
      <c r="AA15" s="286"/>
      <c r="AE15" s="288"/>
      <c r="AF15" s="288"/>
    </row>
    <row r="16" spans="1:32" s="276" customFormat="1" ht="20" customHeight="1" x14ac:dyDescent="0.25">
      <c r="A16" s="273" t="s">
        <v>878</v>
      </c>
      <c r="B16" s="273"/>
      <c r="C16" s="289">
        <f>D5+D6+D7+D8+D9+D10</f>
        <v>131213</v>
      </c>
      <c r="D16" s="274"/>
      <c r="E16" s="274"/>
      <c r="F16" s="290"/>
      <c r="G16" s="277">
        <v>0.96499999999999997</v>
      </c>
      <c r="H16" s="278" t="s">
        <v>876</v>
      </c>
      <c r="I16" s="279"/>
      <c r="K16" s="280"/>
      <c r="L16" s="292"/>
      <c r="M16" s="293"/>
      <c r="O16" s="293"/>
      <c r="P16" s="294"/>
      <c r="Q16" s="294"/>
      <c r="R16" s="294"/>
      <c r="S16" s="294"/>
      <c r="T16" s="294"/>
      <c r="U16" s="294"/>
      <c r="V16" s="294"/>
      <c r="W16" s="294"/>
      <c r="X16" s="295"/>
      <c r="Y16" s="295"/>
      <c r="Z16" s="293"/>
      <c r="AA16" s="296"/>
      <c r="AE16" s="293"/>
      <c r="AF16" s="293"/>
    </row>
    <row r="17" spans="1:32" s="276" customFormat="1" ht="20" customHeight="1" thickBot="1" x14ac:dyDescent="0.3">
      <c r="A17" s="273" t="s">
        <v>879</v>
      </c>
      <c r="B17" s="273"/>
      <c r="C17" s="297">
        <f>85963-6877</f>
        <v>79086</v>
      </c>
      <c r="D17" s="274"/>
      <c r="E17" s="274"/>
      <c r="F17" s="290"/>
      <c r="G17" s="291">
        <v>0.26</v>
      </c>
      <c r="H17" s="278" t="s">
        <v>775</v>
      </c>
      <c r="I17" s="292"/>
      <c r="J17" s="290"/>
      <c r="K17" s="292"/>
      <c r="L17" s="292"/>
      <c r="M17" s="293"/>
      <c r="O17" s="293"/>
      <c r="P17" s="294"/>
      <c r="Q17" s="294"/>
      <c r="R17" s="294"/>
      <c r="S17" s="294"/>
      <c r="T17" s="294"/>
      <c r="U17" s="294"/>
      <c r="V17" s="294"/>
      <c r="W17" s="294"/>
      <c r="X17" s="295"/>
      <c r="Y17" s="295"/>
      <c r="Z17" s="293"/>
      <c r="AA17" s="296"/>
      <c r="AE17" s="293"/>
      <c r="AF17" s="293"/>
    </row>
    <row r="18" spans="1:32" s="290" customFormat="1" ht="20" customHeight="1" thickTop="1" x14ac:dyDescent="0.25">
      <c r="A18" s="298" t="s">
        <v>694</v>
      </c>
      <c r="B18" s="273"/>
      <c r="C18" s="299">
        <f>C16+C17</f>
        <v>210299</v>
      </c>
      <c r="D18" s="292"/>
      <c r="E18" s="292"/>
      <c r="G18" s="291">
        <v>0.74</v>
      </c>
      <c r="H18" s="278" t="s">
        <v>774</v>
      </c>
      <c r="I18" s="292"/>
      <c r="K18" s="292"/>
      <c r="L18" s="292"/>
      <c r="AA18" s="292"/>
    </row>
    <row r="19" spans="1:32" s="290" customFormat="1" ht="20" customHeight="1" x14ac:dyDescent="0.25">
      <c r="A19" s="298" t="s">
        <v>867</v>
      </c>
      <c r="B19" s="301"/>
      <c r="C19" s="302">
        <f>(C17/C16)*G16</f>
        <v>0.58163436549732106</v>
      </c>
      <c r="D19" s="292"/>
      <c r="E19" s="292"/>
      <c r="F19" s="292"/>
      <c r="G19" s="291">
        <v>0.57999999999999996</v>
      </c>
      <c r="H19" s="278" t="s">
        <v>872</v>
      </c>
      <c r="K19" s="292"/>
      <c r="L19" s="292"/>
      <c r="AA19" s="292"/>
    </row>
    <row r="20" spans="1:32" s="290" customFormat="1" ht="20" customHeight="1" x14ac:dyDescent="0.25">
      <c r="A20" s="273" t="s">
        <v>878</v>
      </c>
      <c r="B20" s="273"/>
      <c r="C20" s="289">
        <f>C16</f>
        <v>131213</v>
      </c>
      <c r="D20" s="292"/>
      <c r="E20" s="292"/>
      <c r="F20" s="292"/>
      <c r="G20" s="300">
        <f>C19</f>
        <v>0.58163436549732106</v>
      </c>
      <c r="H20" s="278" t="s">
        <v>873</v>
      </c>
      <c r="I20" s="292"/>
      <c r="K20" s="292"/>
      <c r="L20" s="292"/>
      <c r="AA20" s="292"/>
    </row>
    <row r="21" spans="1:32" s="290" customFormat="1" ht="20" customHeight="1" thickBot="1" x14ac:dyDescent="0.3">
      <c r="A21" s="273" t="s">
        <v>880</v>
      </c>
      <c r="B21" s="273"/>
      <c r="C21" s="297">
        <f>I5+I6+I7+I8+I9+I10</f>
        <v>76317</v>
      </c>
      <c r="D21" s="274"/>
      <c r="E21" s="274"/>
      <c r="F21" s="292"/>
      <c r="G21" s="303">
        <v>781</v>
      </c>
      <c r="H21" s="278" t="s">
        <v>874</v>
      </c>
      <c r="K21" s="292"/>
      <c r="L21" s="292"/>
      <c r="AA21" s="292"/>
    </row>
    <row r="22" spans="1:32" s="290" customFormat="1" ht="20" customHeight="1" thickTop="1" x14ac:dyDescent="0.25">
      <c r="A22" s="298" t="s">
        <v>870</v>
      </c>
      <c r="B22" s="273"/>
      <c r="C22" s="299">
        <f>C20+C21</f>
        <v>207530</v>
      </c>
      <c r="D22" s="304"/>
      <c r="E22" s="304"/>
      <c r="F22" s="292"/>
      <c r="G22" s="303">
        <f>G21/G16</f>
        <v>809.32642487046633</v>
      </c>
      <c r="H22" s="278" t="s">
        <v>875</v>
      </c>
      <c r="K22" s="292"/>
      <c r="L22" s="292"/>
      <c r="AA22" s="292"/>
    </row>
    <row r="23" spans="1:32" s="290" customFormat="1" ht="20" customHeight="1" x14ac:dyDescent="0.25">
      <c r="A23" s="273" t="s">
        <v>881</v>
      </c>
      <c r="B23" s="273"/>
      <c r="C23" s="300">
        <f>C20/C22</f>
        <v>0.63226039608731266</v>
      </c>
      <c r="D23" s="304"/>
      <c r="E23" s="304"/>
      <c r="F23" s="292"/>
      <c r="G23" s="292"/>
      <c r="H23" s="292"/>
      <c r="I23" s="292"/>
      <c r="J23" s="292"/>
      <c r="K23" s="292"/>
      <c r="L23" s="292"/>
      <c r="M23" s="305"/>
      <c r="AA23" s="292"/>
    </row>
    <row r="24" spans="1:32" s="290" customFormat="1" ht="20" customHeight="1" x14ac:dyDescent="0.25">
      <c r="A24" s="273" t="s">
        <v>882</v>
      </c>
      <c r="B24" s="273"/>
      <c r="C24" s="300">
        <f>C21/C22</f>
        <v>0.36773960391268734</v>
      </c>
      <c r="D24" s="292"/>
      <c r="E24" s="292"/>
      <c r="F24" s="292"/>
      <c r="G24" s="292"/>
      <c r="H24" s="292"/>
      <c r="I24" s="292"/>
      <c r="J24" s="292"/>
      <c r="K24" s="292"/>
      <c r="L24" s="292"/>
      <c r="AA24" s="292"/>
    </row>
    <row r="25" spans="1:32" s="290" customFormat="1" ht="19" customHeight="1" x14ac:dyDescent="0.25">
      <c r="A25" s="292"/>
      <c r="B25" s="292"/>
      <c r="C25" s="292"/>
      <c r="D25" s="292"/>
      <c r="E25" s="292"/>
      <c r="F25" s="292"/>
      <c r="G25" s="292"/>
      <c r="H25" s="292"/>
      <c r="I25" s="292"/>
      <c r="J25" s="292"/>
      <c r="K25" s="292"/>
      <c r="L25" s="292"/>
      <c r="AA25" s="292"/>
    </row>
    <row r="26" spans="1:32" s="290" customFormat="1" ht="19" customHeight="1" thickBot="1" x14ac:dyDescent="0.3">
      <c r="A26" s="331" t="s">
        <v>844</v>
      </c>
      <c r="B26" s="331"/>
      <c r="C26" s="331"/>
      <c r="D26" s="332"/>
      <c r="E26" s="332"/>
      <c r="F26" s="292"/>
      <c r="G26" s="331" t="s">
        <v>862</v>
      </c>
      <c r="H26" s="339"/>
      <c r="I26" s="292"/>
      <c r="J26" s="292"/>
      <c r="K26" s="292"/>
      <c r="L26" s="292"/>
      <c r="AA26" s="292"/>
    </row>
    <row r="27" spans="1:32" s="290" customFormat="1" ht="19" customHeight="1" thickTop="1" x14ac:dyDescent="0.25">
      <c r="A27" s="292"/>
      <c r="B27" s="292"/>
      <c r="C27" s="292"/>
      <c r="D27" s="336" t="s">
        <v>842</v>
      </c>
      <c r="E27" s="336" t="s">
        <v>843</v>
      </c>
      <c r="F27" s="292"/>
      <c r="G27" s="336" t="s">
        <v>842</v>
      </c>
      <c r="H27" s="336" t="s">
        <v>843</v>
      </c>
      <c r="I27" s="336" t="s">
        <v>841</v>
      </c>
      <c r="J27" s="336" t="s">
        <v>840</v>
      </c>
      <c r="K27" s="336" t="s">
        <v>863</v>
      </c>
      <c r="L27" s="336" t="s">
        <v>7</v>
      </c>
      <c r="AA27" s="292"/>
    </row>
    <row r="28" spans="1:32" s="290" customFormat="1" ht="19" customHeight="1" x14ac:dyDescent="0.25">
      <c r="A28" s="273" t="s">
        <v>883</v>
      </c>
      <c r="B28" s="273"/>
      <c r="C28" s="274" t="s">
        <v>835</v>
      </c>
      <c r="D28" s="275">
        <v>43556</v>
      </c>
      <c r="E28" s="275">
        <v>43921</v>
      </c>
      <c r="F28" s="292"/>
      <c r="G28" s="340">
        <v>42461</v>
      </c>
      <c r="H28" s="340">
        <v>53417</v>
      </c>
      <c r="I28" s="303">
        <f>(H28-G28)/365.25</f>
        <v>29.995893223819301</v>
      </c>
      <c r="J28" s="289">
        <f>D5+D6+D7+D8+D9+D10</f>
        <v>131213</v>
      </c>
      <c r="K28" s="289">
        <f>I5+I6+I7+I8+I9+I10</f>
        <v>76317</v>
      </c>
      <c r="L28" s="289">
        <f>J28+K28</f>
        <v>207530</v>
      </c>
      <c r="AA28" s="292"/>
    </row>
    <row r="29" spans="1:32" s="290" customFormat="1" ht="19" customHeight="1" x14ac:dyDescent="0.25">
      <c r="A29" s="273" t="s">
        <v>884</v>
      </c>
      <c r="B29" s="273"/>
      <c r="C29" s="274" t="s">
        <v>836</v>
      </c>
      <c r="D29" s="275">
        <v>43922</v>
      </c>
      <c r="E29" s="275">
        <v>51226</v>
      </c>
      <c r="F29" s="292"/>
      <c r="G29" s="340">
        <v>42461</v>
      </c>
      <c r="H29" s="340">
        <v>51226</v>
      </c>
      <c r="I29" s="303">
        <f>(H29-G29)/365.25</f>
        <v>23.997262149212869</v>
      </c>
      <c r="J29" s="289">
        <f>D5+D6+D7+D8+(D9)*0.8</f>
        <v>100498.6</v>
      </c>
      <c r="K29" s="289">
        <f>I5+I6+I7+I8+(I9)*0.8</f>
        <v>58453</v>
      </c>
      <c r="L29" s="289">
        <f>J29+K29</f>
        <v>158951.6</v>
      </c>
      <c r="AA29" s="292"/>
    </row>
    <row r="30" spans="1:32" s="290" customFormat="1" ht="19" customHeight="1" x14ac:dyDescent="0.25">
      <c r="A30" s="273" t="s">
        <v>877</v>
      </c>
      <c r="B30" s="273"/>
      <c r="C30" s="274" t="s">
        <v>839</v>
      </c>
      <c r="D30" s="275">
        <v>43556</v>
      </c>
      <c r="E30" s="275">
        <v>51226</v>
      </c>
      <c r="F30" s="292"/>
      <c r="G30" s="340">
        <v>43556</v>
      </c>
      <c r="H30" s="340">
        <v>51226</v>
      </c>
      <c r="I30" s="303">
        <f t="shared" ref="I30" si="7">(H30-G30)/365.25</f>
        <v>20.999315537303218</v>
      </c>
      <c r="J30" s="289">
        <f>(D5*0.4)+D6+D7+D8+(D9*0.8)</f>
        <v>89369.8</v>
      </c>
      <c r="K30" s="289">
        <f>(I5*0.4)+I6+I7+I8+(I9*0.8)</f>
        <v>51980.2</v>
      </c>
      <c r="L30" s="289">
        <f>J30+K30</f>
        <v>141350</v>
      </c>
      <c r="AA30" s="292"/>
    </row>
    <row r="31" spans="1:32" s="290" customFormat="1" ht="19" customHeight="1" x14ac:dyDescent="0.25">
      <c r="A31" s="273" t="s">
        <v>885</v>
      </c>
      <c r="B31" s="273"/>
      <c r="C31" s="289">
        <f>(D5*0.4)+D6+D7+D8+(D9*0.8)</f>
        <v>89369.8</v>
      </c>
      <c r="D31" s="275"/>
      <c r="E31" s="275"/>
      <c r="F31" s="300"/>
      <c r="G31" s="292"/>
      <c r="H31" s="292"/>
      <c r="I31" s="292"/>
      <c r="J31" s="292"/>
      <c r="K31" s="292"/>
      <c r="L31" s="292"/>
      <c r="AA31" s="292"/>
    </row>
    <row r="32" spans="1:32" s="290" customFormat="1" ht="19" customHeight="1" thickBot="1" x14ac:dyDescent="0.3">
      <c r="A32" s="273" t="s">
        <v>886</v>
      </c>
      <c r="B32" s="273"/>
      <c r="C32" s="297">
        <f>(I5*0.4)+I6+I7+I8+(I9*0.8)</f>
        <v>51980.2</v>
      </c>
      <c r="D32" s="275"/>
      <c r="E32" s="341"/>
      <c r="F32" s="292"/>
      <c r="G32" s="342"/>
      <c r="H32" s="342"/>
      <c r="I32" s="328"/>
      <c r="J32" s="328"/>
      <c r="K32" s="328"/>
      <c r="L32" s="328"/>
      <c r="AA32" s="292"/>
    </row>
    <row r="33" spans="1:27" s="290" customFormat="1" ht="19" customHeight="1" thickTop="1" x14ac:dyDescent="0.25">
      <c r="A33" s="298" t="s">
        <v>860</v>
      </c>
      <c r="B33" s="273"/>
      <c r="C33" s="299">
        <f>SUM(C31:C32)</f>
        <v>141350</v>
      </c>
      <c r="D33" s="275"/>
      <c r="E33" s="275"/>
      <c r="F33" s="292"/>
      <c r="G33" s="343"/>
      <c r="H33" s="343"/>
      <c r="I33" s="296"/>
      <c r="J33" s="296"/>
      <c r="K33" s="296"/>
      <c r="L33" s="296"/>
      <c r="AA33" s="292"/>
    </row>
    <row r="34" spans="1:27" s="290" customFormat="1" ht="19" customHeight="1" x14ac:dyDescent="0.25">
      <c r="A34" s="273" t="s">
        <v>881</v>
      </c>
      <c r="B34" s="273"/>
      <c r="C34" s="300">
        <f>C31/C33</f>
        <v>0.6322589317297489</v>
      </c>
      <c r="D34" s="341"/>
      <c r="E34" s="275"/>
      <c r="F34" s="292"/>
      <c r="G34" s="292"/>
      <c r="H34" s="292"/>
      <c r="I34" s="292"/>
      <c r="J34" s="292"/>
      <c r="K34" s="292"/>
      <c r="L34" s="292"/>
      <c r="M34" s="292"/>
      <c r="AA34" s="292"/>
    </row>
    <row r="35" spans="1:27" s="290" customFormat="1" ht="19" customHeight="1" x14ac:dyDescent="0.25">
      <c r="A35" s="273" t="s">
        <v>887</v>
      </c>
      <c r="B35" s="273"/>
      <c r="C35" s="300">
        <f>C32/C33</f>
        <v>0.3677410682702511</v>
      </c>
      <c r="D35" s="275"/>
      <c r="E35" s="275"/>
      <c r="F35" s="292"/>
      <c r="G35" s="292"/>
      <c r="H35" s="292"/>
      <c r="I35" s="292"/>
      <c r="J35" s="292"/>
      <c r="K35" s="292"/>
      <c r="L35" s="292"/>
      <c r="M35" s="292"/>
      <c r="AA35" s="292"/>
    </row>
    <row r="36" spans="1:27" s="290" customFormat="1" ht="19" customHeight="1" x14ac:dyDescent="0.25">
      <c r="A36" s="273" t="s">
        <v>692</v>
      </c>
      <c r="B36" s="273"/>
      <c r="C36" s="347">
        <f>1-L29/L28</f>
        <v>0.23407892834770871</v>
      </c>
      <c r="D36" s="275">
        <v>51227</v>
      </c>
      <c r="E36" s="275">
        <v>53417</v>
      </c>
      <c r="F36" s="292"/>
      <c r="G36" s="292"/>
      <c r="H36" s="292"/>
      <c r="I36" s="292"/>
      <c r="J36" s="292"/>
      <c r="K36" s="292"/>
      <c r="L36" s="292"/>
      <c r="M36" s="292"/>
      <c r="AA36" s="292"/>
    </row>
    <row r="37" spans="1:27" s="290" customFormat="1" ht="19" customHeight="1" x14ac:dyDescent="0.25">
      <c r="A37" s="292"/>
      <c r="B37" s="273"/>
      <c r="C37" s="273"/>
      <c r="D37" s="344"/>
      <c r="E37" s="345"/>
      <c r="F37" s="292"/>
      <c r="G37" s="292"/>
      <c r="H37" s="292"/>
      <c r="I37" s="292"/>
      <c r="J37" s="292"/>
      <c r="K37" s="292"/>
      <c r="L37" s="292"/>
      <c r="M37" s="292"/>
      <c r="AA37" s="292"/>
    </row>
    <row r="38" spans="1:27" s="290" customFormat="1" ht="19" customHeight="1" x14ac:dyDescent="0.25">
      <c r="A38" s="292"/>
      <c r="B38" s="292"/>
      <c r="C38" s="292"/>
      <c r="D38" s="292"/>
      <c r="E38" s="292"/>
      <c r="F38" s="292"/>
      <c r="G38" s="292"/>
      <c r="H38" s="292"/>
      <c r="I38" s="292"/>
      <c r="J38" s="292"/>
      <c r="K38" s="292"/>
      <c r="L38" s="292"/>
      <c r="M38" s="292"/>
      <c r="AA38" s="292"/>
    </row>
    <row r="39" spans="1:27" s="290" customFormat="1" ht="19" customHeight="1" x14ac:dyDescent="0.25">
      <c r="A39" s="292"/>
      <c r="B39" s="292"/>
      <c r="C39" s="292"/>
      <c r="D39" s="292"/>
      <c r="E39" s="292"/>
      <c r="F39" s="292"/>
      <c r="G39" s="292"/>
      <c r="H39" s="292"/>
      <c r="I39" s="292"/>
      <c r="J39" s="292"/>
      <c r="K39" s="292"/>
      <c r="L39" s="292"/>
      <c r="M39" s="292"/>
      <c r="AA39" s="292"/>
    </row>
    <row r="40" spans="1:27" s="290" customFormat="1" ht="19" customHeight="1" x14ac:dyDescent="0.25">
      <c r="A40" s="292"/>
      <c r="B40" s="292"/>
      <c r="C40" s="292"/>
      <c r="D40" s="292"/>
      <c r="E40" s="292"/>
      <c r="F40" s="292"/>
      <c r="G40" s="292"/>
      <c r="H40" s="292"/>
      <c r="I40" s="292"/>
      <c r="J40" s="292"/>
      <c r="K40" s="292"/>
      <c r="L40" s="292"/>
      <c r="M40" s="292"/>
      <c r="AA40" s="292"/>
    </row>
    <row r="41" spans="1:27" s="290" customFormat="1" ht="19" customHeight="1" x14ac:dyDescent="0.25">
      <c r="A41" s="292"/>
      <c r="B41" s="292"/>
      <c r="C41" s="292"/>
      <c r="D41" s="292"/>
      <c r="E41" s="292"/>
      <c r="F41" s="292"/>
      <c r="G41" s="292"/>
      <c r="H41" s="292"/>
      <c r="I41" s="292"/>
      <c r="J41" s="292"/>
      <c r="K41" s="292"/>
      <c r="L41" s="292"/>
      <c r="M41" s="292"/>
      <c r="AA41" s="292"/>
    </row>
    <row r="42" spans="1:27" s="290" customFormat="1" ht="19" customHeight="1" x14ac:dyDescent="0.25">
      <c r="A42" s="292"/>
      <c r="B42" s="292"/>
      <c r="C42" s="292"/>
      <c r="D42" s="292"/>
      <c r="E42" s="292"/>
      <c r="F42" s="292"/>
      <c r="G42" s="292"/>
      <c r="H42" s="292"/>
      <c r="I42" s="292"/>
      <c r="J42" s="292"/>
      <c r="K42" s="292"/>
      <c r="L42" s="292"/>
      <c r="M42" s="292"/>
      <c r="AA42" s="292"/>
    </row>
    <row r="43" spans="1:27" s="290" customFormat="1" ht="19" customHeight="1" x14ac:dyDescent="0.25">
      <c r="A43" s="292"/>
      <c r="B43" s="292"/>
      <c r="C43" s="292"/>
      <c r="D43" s="292"/>
      <c r="E43" s="292"/>
      <c r="F43" s="292"/>
      <c r="G43" s="292"/>
      <c r="H43" s="292"/>
      <c r="I43" s="292"/>
      <c r="J43" s="292"/>
      <c r="K43" s="292"/>
      <c r="L43" s="292"/>
      <c r="M43" s="292"/>
      <c r="AA43" s="292"/>
    </row>
    <row r="44" spans="1:27" s="290" customFormat="1" ht="19" customHeight="1" x14ac:dyDescent="0.25">
      <c r="A44" s="292"/>
      <c r="B44" s="292"/>
      <c r="C44" s="292"/>
      <c r="D44" s="292"/>
      <c r="E44" s="292"/>
      <c r="F44" s="292"/>
      <c r="G44" s="292"/>
      <c r="H44" s="292"/>
      <c r="I44" s="292"/>
      <c r="J44" s="292"/>
      <c r="K44" s="292"/>
      <c r="L44" s="292"/>
      <c r="M44" s="292"/>
      <c r="AA44" s="292"/>
    </row>
    <row r="45" spans="1:27" s="290" customFormat="1" ht="19" customHeight="1" x14ac:dyDescent="0.25">
      <c r="A45" s="292"/>
      <c r="B45" s="292"/>
      <c r="C45" s="292"/>
      <c r="D45" s="292"/>
      <c r="E45" s="292"/>
      <c r="F45" s="292"/>
      <c r="G45" s="292"/>
      <c r="H45" s="292"/>
      <c r="I45" s="292"/>
      <c r="J45" s="292"/>
      <c r="K45" s="292"/>
      <c r="L45" s="292"/>
      <c r="M45" s="292"/>
      <c r="AA45" s="292"/>
    </row>
    <row r="46" spans="1:27" s="290" customFormat="1" ht="19" customHeight="1" x14ac:dyDescent="0.25">
      <c r="A46" s="292"/>
      <c r="B46" s="292"/>
      <c r="C46" s="292"/>
      <c r="D46" s="292"/>
      <c r="E46" s="292"/>
      <c r="F46" s="292"/>
      <c r="G46" s="292"/>
      <c r="H46" s="292"/>
      <c r="I46" s="292"/>
      <c r="J46" s="292"/>
      <c r="K46" s="292"/>
      <c r="L46" s="292"/>
      <c r="M46" s="292"/>
      <c r="AA46" s="292"/>
    </row>
    <row r="47" spans="1:27" s="290" customFormat="1" ht="19" customHeight="1" x14ac:dyDescent="0.25">
      <c r="A47" s="292"/>
      <c r="B47" s="292"/>
      <c r="C47" s="292"/>
      <c r="D47" s="292"/>
      <c r="E47" s="292"/>
      <c r="F47" s="292"/>
      <c r="G47" s="292"/>
      <c r="H47" s="292"/>
      <c r="I47" s="292"/>
      <c r="J47" s="292"/>
      <c r="K47" s="292"/>
      <c r="L47" s="292"/>
      <c r="M47" s="292"/>
      <c r="AA47" s="292"/>
    </row>
    <row r="48" spans="1:27" s="290" customFormat="1" ht="19" customHeight="1" x14ac:dyDescent="0.25">
      <c r="A48" s="292"/>
      <c r="B48" s="292"/>
      <c r="C48" s="292"/>
      <c r="D48" s="292"/>
      <c r="E48" s="292"/>
      <c r="F48" s="292"/>
      <c r="G48" s="292"/>
      <c r="H48" s="292"/>
      <c r="I48" s="292"/>
      <c r="J48" s="292"/>
      <c r="K48" s="292"/>
      <c r="L48" s="292"/>
      <c r="M48" s="292"/>
      <c r="AA48" s="292"/>
    </row>
    <row r="49" spans="1:27" s="290" customFormat="1" ht="19" customHeight="1" x14ac:dyDescent="0.25">
      <c r="A49" s="292"/>
      <c r="B49" s="292"/>
      <c r="C49" s="292"/>
      <c r="D49" s="292"/>
      <c r="E49" s="292"/>
      <c r="F49" s="292"/>
      <c r="G49" s="292"/>
      <c r="H49" s="292"/>
      <c r="I49" s="292"/>
      <c r="J49" s="292"/>
      <c r="K49" s="292"/>
      <c r="L49" s="292"/>
      <c r="M49" s="292"/>
      <c r="AA49" s="292"/>
    </row>
    <row r="50" spans="1:27" s="290" customFormat="1" ht="19" customHeight="1" x14ac:dyDescent="0.25">
      <c r="A50" s="292"/>
      <c r="B50" s="292"/>
      <c r="C50" s="292"/>
      <c r="D50" s="292"/>
      <c r="E50" s="292"/>
      <c r="F50" s="292"/>
      <c r="G50" s="292"/>
      <c r="H50" s="292"/>
      <c r="I50" s="292"/>
      <c r="J50" s="292"/>
      <c r="K50" s="292"/>
      <c r="L50" s="292"/>
      <c r="M50" s="292"/>
      <c r="AA50" s="292"/>
    </row>
    <row r="51" spans="1:27" s="290" customFormat="1" ht="19" customHeight="1" x14ac:dyDescent="0.25">
      <c r="A51" s="292"/>
      <c r="B51" s="292"/>
      <c r="C51" s="292"/>
      <c r="D51" s="292"/>
      <c r="E51" s="292"/>
      <c r="F51" s="292"/>
      <c r="G51" s="292"/>
      <c r="H51" s="292"/>
      <c r="I51" s="292"/>
      <c r="J51" s="292"/>
      <c r="K51" s="292"/>
      <c r="L51" s="292"/>
      <c r="M51" s="292"/>
      <c r="AA51" s="292"/>
    </row>
    <row r="52" spans="1:27" s="290" customFormat="1" ht="19" customHeight="1" x14ac:dyDescent="0.25">
      <c r="A52" s="292"/>
      <c r="B52" s="292"/>
      <c r="C52" s="292"/>
      <c r="D52" s="292"/>
      <c r="E52" s="292"/>
      <c r="F52" s="292"/>
      <c r="G52" s="292"/>
      <c r="H52" s="292"/>
      <c r="I52" s="292"/>
      <c r="J52" s="292"/>
      <c r="K52" s="292"/>
      <c r="L52" s="292"/>
      <c r="M52" s="292"/>
      <c r="AA52" s="292"/>
    </row>
    <row r="53" spans="1:27" s="290" customFormat="1" ht="19" customHeight="1" x14ac:dyDescent="0.25">
      <c r="A53" s="292"/>
      <c r="B53" s="292"/>
      <c r="C53" s="292"/>
      <c r="D53" s="292"/>
      <c r="E53" s="292"/>
      <c r="F53" s="292"/>
      <c r="G53" s="292"/>
      <c r="H53" s="292"/>
      <c r="I53" s="292"/>
      <c r="J53" s="292"/>
      <c r="K53" s="292"/>
      <c r="L53" s="292"/>
      <c r="M53" s="292"/>
      <c r="AA53" s="292"/>
    </row>
    <row r="54" spans="1:27" s="290" customFormat="1" ht="19" customHeight="1" x14ac:dyDescent="0.25">
      <c r="A54" s="292"/>
      <c r="B54" s="292"/>
      <c r="C54" s="292"/>
      <c r="D54" s="292"/>
      <c r="E54" s="292"/>
      <c r="F54" s="292"/>
      <c r="G54" s="292"/>
      <c r="H54" s="292"/>
      <c r="I54" s="292"/>
      <c r="J54" s="292"/>
      <c r="K54" s="292"/>
      <c r="L54" s="292"/>
      <c r="M54" s="292"/>
      <c r="AA54" s="292"/>
    </row>
    <row r="55" spans="1:27" s="290" customFormat="1" ht="19" customHeight="1" x14ac:dyDescent="0.25">
      <c r="A55" s="292"/>
      <c r="B55" s="292"/>
      <c r="C55" s="292"/>
      <c r="D55" s="292"/>
      <c r="E55" s="292"/>
      <c r="F55" s="292"/>
      <c r="G55" s="292"/>
      <c r="H55" s="292"/>
      <c r="I55" s="292"/>
      <c r="J55" s="292"/>
      <c r="K55" s="292"/>
      <c r="L55" s="292"/>
      <c r="M55" s="292"/>
      <c r="AA55" s="292"/>
    </row>
    <row r="56" spans="1:27" s="290" customFormat="1" ht="19" customHeight="1" x14ac:dyDescent="0.25">
      <c r="A56" s="292"/>
      <c r="B56" s="292"/>
      <c r="C56" s="292"/>
      <c r="D56" s="292"/>
      <c r="E56" s="292"/>
      <c r="F56" s="292"/>
      <c r="G56" s="292"/>
      <c r="H56" s="292"/>
      <c r="I56" s="292"/>
      <c r="J56" s="292"/>
      <c r="K56" s="292"/>
      <c r="L56" s="292"/>
      <c r="M56" s="292"/>
      <c r="AA56" s="292"/>
    </row>
    <row r="57" spans="1:27" s="290" customFormat="1" ht="19" customHeight="1" x14ac:dyDescent="0.25">
      <c r="A57" s="292"/>
      <c r="B57" s="292"/>
      <c r="C57" s="292"/>
      <c r="D57" s="292"/>
      <c r="E57" s="292"/>
      <c r="F57" s="292"/>
      <c r="G57" s="292"/>
      <c r="H57" s="292"/>
      <c r="I57" s="292"/>
      <c r="J57" s="292"/>
      <c r="K57" s="292"/>
      <c r="L57" s="292"/>
      <c r="M57" s="292"/>
      <c r="AA57" s="292"/>
    </row>
    <row r="58" spans="1:27" s="290" customFormat="1" ht="19" customHeight="1" x14ac:dyDescent="0.25">
      <c r="A58" s="292"/>
      <c r="B58" s="292"/>
      <c r="C58" s="292"/>
      <c r="D58" s="292"/>
      <c r="E58" s="292"/>
      <c r="F58" s="292"/>
      <c r="G58" s="292"/>
      <c r="H58" s="292"/>
      <c r="I58" s="292"/>
      <c r="J58" s="292"/>
      <c r="K58" s="292"/>
      <c r="L58" s="292"/>
      <c r="M58" s="292"/>
      <c r="AA58" s="292"/>
    </row>
    <row r="59" spans="1:27" s="290" customFormat="1" ht="19" customHeight="1" x14ac:dyDescent="0.25">
      <c r="A59" s="292"/>
      <c r="B59" s="292"/>
      <c r="C59" s="292"/>
      <c r="D59" s="292"/>
      <c r="E59" s="292"/>
      <c r="F59" s="292"/>
      <c r="G59" s="292"/>
      <c r="H59" s="292"/>
      <c r="I59" s="292"/>
      <c r="J59" s="292"/>
      <c r="K59" s="292"/>
      <c r="L59" s="292"/>
      <c r="M59" s="292"/>
      <c r="AA59" s="292"/>
    </row>
    <row r="60" spans="1:27" s="290" customFormat="1" ht="19" customHeight="1" x14ac:dyDescent="0.25">
      <c r="A60" s="292"/>
      <c r="B60" s="292"/>
      <c r="C60" s="292"/>
      <c r="D60" s="292"/>
      <c r="E60" s="292"/>
      <c r="F60" s="292"/>
      <c r="G60" s="292"/>
      <c r="H60" s="292"/>
      <c r="I60" s="292"/>
      <c r="J60" s="292"/>
      <c r="K60" s="292"/>
      <c r="L60" s="292"/>
      <c r="M60" s="292"/>
      <c r="AA60" s="292"/>
    </row>
    <row r="61" spans="1:27" s="290" customFormat="1" ht="19" customHeight="1" x14ac:dyDescent="0.25">
      <c r="A61" s="292"/>
      <c r="B61" s="292"/>
      <c r="C61" s="292"/>
      <c r="D61" s="292"/>
      <c r="E61" s="292"/>
      <c r="F61" s="292"/>
      <c r="G61" s="292"/>
      <c r="H61" s="292"/>
      <c r="I61" s="292"/>
      <c r="J61" s="292"/>
      <c r="K61" s="292"/>
      <c r="L61" s="292"/>
      <c r="M61" s="292"/>
      <c r="AA61" s="292"/>
    </row>
    <row r="62" spans="1:27" s="290" customFormat="1" ht="19" customHeight="1" x14ac:dyDescent="0.25">
      <c r="A62" s="292"/>
      <c r="B62" s="292"/>
      <c r="C62" s="292"/>
      <c r="D62" s="292"/>
      <c r="E62" s="292"/>
      <c r="F62" s="292"/>
      <c r="G62" s="292"/>
      <c r="H62" s="292"/>
      <c r="I62" s="292"/>
      <c r="J62" s="292"/>
      <c r="K62" s="292"/>
      <c r="L62" s="292"/>
      <c r="M62" s="292"/>
      <c r="AA62" s="292"/>
    </row>
    <row r="63" spans="1:27" s="290" customFormat="1" ht="19" customHeight="1" x14ac:dyDescent="0.25">
      <c r="A63" s="292"/>
      <c r="B63" s="292"/>
      <c r="C63" s="292"/>
      <c r="D63" s="292"/>
      <c r="E63" s="292"/>
      <c r="F63" s="292"/>
      <c r="G63" s="292"/>
      <c r="H63" s="292"/>
      <c r="I63" s="292"/>
      <c r="J63" s="292"/>
      <c r="K63" s="292"/>
      <c r="L63" s="292"/>
      <c r="M63" s="292"/>
      <c r="AA63" s="292"/>
    </row>
    <row r="64" spans="1:27" s="290" customFormat="1" ht="19" customHeight="1" x14ac:dyDescent="0.25">
      <c r="A64" s="292"/>
      <c r="B64" s="292"/>
      <c r="C64" s="292"/>
      <c r="D64" s="292"/>
      <c r="E64" s="292"/>
      <c r="F64" s="292"/>
      <c r="G64" s="292"/>
      <c r="H64" s="292"/>
      <c r="I64" s="292"/>
      <c r="J64" s="292"/>
      <c r="K64" s="292"/>
      <c r="L64" s="292"/>
      <c r="M64" s="292"/>
      <c r="AA64" s="292"/>
    </row>
    <row r="65" spans="1:27" s="290" customFormat="1" ht="19" customHeight="1" x14ac:dyDescent="0.25">
      <c r="A65" s="292"/>
      <c r="B65" s="292"/>
      <c r="C65" s="292"/>
      <c r="D65" s="292"/>
      <c r="E65" s="292"/>
      <c r="F65" s="292"/>
      <c r="G65" s="292"/>
      <c r="H65" s="292"/>
      <c r="I65" s="292"/>
      <c r="J65" s="292"/>
      <c r="K65" s="292"/>
      <c r="L65" s="292"/>
      <c r="M65" s="292"/>
      <c r="AA65" s="292"/>
    </row>
    <row r="66" spans="1:27" s="290" customFormat="1" ht="19" customHeight="1" x14ac:dyDescent="0.25">
      <c r="A66" s="292"/>
      <c r="B66" s="292"/>
      <c r="C66" s="292"/>
      <c r="D66" s="292"/>
      <c r="E66" s="292"/>
      <c r="F66" s="292"/>
      <c r="G66" s="292"/>
      <c r="H66" s="292"/>
      <c r="I66" s="292"/>
      <c r="J66" s="292"/>
      <c r="K66" s="292"/>
      <c r="L66" s="292"/>
      <c r="M66" s="292"/>
      <c r="AA66" s="292"/>
    </row>
    <row r="67" spans="1:27" s="290" customFormat="1" ht="19" customHeight="1" x14ac:dyDescent="0.25">
      <c r="A67" s="292"/>
      <c r="B67" s="292"/>
      <c r="C67" s="292"/>
      <c r="D67" s="292"/>
      <c r="E67" s="292"/>
      <c r="F67" s="292"/>
      <c r="G67" s="292"/>
      <c r="H67" s="292"/>
      <c r="I67" s="292"/>
      <c r="J67" s="292"/>
      <c r="K67" s="292"/>
      <c r="L67" s="292"/>
      <c r="M67" s="292"/>
      <c r="AA67" s="292"/>
    </row>
    <row r="68" spans="1:27" s="290" customFormat="1" ht="19" customHeight="1" x14ac:dyDescent="0.25">
      <c r="A68" s="292"/>
      <c r="B68" s="292"/>
      <c r="C68" s="292"/>
      <c r="D68" s="292"/>
      <c r="E68" s="292"/>
      <c r="F68" s="292"/>
      <c r="G68" s="292"/>
      <c r="H68" s="292"/>
      <c r="I68" s="292"/>
      <c r="J68" s="292"/>
      <c r="K68" s="292"/>
      <c r="L68" s="292"/>
      <c r="M68" s="292"/>
      <c r="AA68" s="292"/>
    </row>
    <row r="69" spans="1:27" s="290" customFormat="1" ht="19" customHeight="1" x14ac:dyDescent="0.25">
      <c r="A69" s="292"/>
      <c r="B69" s="292"/>
      <c r="C69" s="292"/>
      <c r="D69" s="292"/>
      <c r="E69" s="292"/>
      <c r="F69" s="292"/>
      <c r="G69" s="292"/>
      <c r="H69" s="292"/>
      <c r="I69" s="292"/>
      <c r="J69" s="292"/>
      <c r="K69" s="292"/>
      <c r="L69" s="292"/>
      <c r="M69" s="292"/>
      <c r="AA69" s="292"/>
    </row>
    <row r="70" spans="1:27" s="290" customFormat="1" ht="19" customHeight="1" x14ac:dyDescent="0.25">
      <c r="A70" s="292"/>
      <c r="B70" s="292"/>
      <c r="C70" s="292"/>
      <c r="D70" s="292"/>
      <c r="E70" s="292"/>
      <c r="F70" s="292"/>
      <c r="G70" s="292"/>
      <c r="H70" s="292"/>
      <c r="I70" s="292"/>
      <c r="J70" s="292"/>
      <c r="K70" s="292"/>
      <c r="L70" s="292"/>
      <c r="M70" s="292"/>
      <c r="AA70" s="292"/>
    </row>
    <row r="71" spans="1:27" s="290" customFormat="1" ht="19" customHeight="1" x14ac:dyDescent="0.25">
      <c r="A71" s="292"/>
      <c r="B71" s="292"/>
      <c r="C71" s="292"/>
      <c r="D71" s="292"/>
      <c r="E71" s="292"/>
      <c r="F71" s="292"/>
      <c r="G71" s="292"/>
      <c r="H71" s="292"/>
      <c r="I71" s="292"/>
      <c r="J71" s="292"/>
      <c r="K71" s="292"/>
      <c r="L71" s="292"/>
      <c r="M71" s="292"/>
      <c r="AA71" s="292"/>
    </row>
    <row r="72" spans="1:27" s="290" customFormat="1" ht="19" customHeight="1" x14ac:dyDescent="0.25">
      <c r="A72" s="292"/>
      <c r="B72" s="292"/>
      <c r="C72" s="292"/>
      <c r="D72" s="292"/>
      <c r="E72" s="292"/>
      <c r="F72" s="292"/>
      <c r="G72" s="292"/>
      <c r="H72" s="292"/>
      <c r="I72" s="292"/>
      <c r="J72" s="292"/>
      <c r="K72" s="292"/>
      <c r="L72" s="292"/>
      <c r="M72" s="292"/>
      <c r="AA72" s="292"/>
    </row>
    <row r="73" spans="1:27" s="290" customFormat="1" ht="19" customHeight="1" x14ac:dyDescent="0.25">
      <c r="A73" s="292"/>
      <c r="B73" s="292"/>
      <c r="C73" s="292"/>
      <c r="D73" s="292"/>
      <c r="E73" s="292"/>
      <c r="F73" s="292"/>
      <c r="G73" s="292"/>
      <c r="H73" s="292"/>
      <c r="I73" s="292"/>
      <c r="J73" s="292"/>
      <c r="K73" s="292"/>
      <c r="L73" s="292"/>
      <c r="M73" s="292"/>
      <c r="AA73" s="292"/>
    </row>
    <row r="74" spans="1:27" s="290" customFormat="1" ht="19" customHeight="1" x14ac:dyDescent="0.25">
      <c r="A74" s="292"/>
      <c r="B74" s="292"/>
      <c r="C74" s="292"/>
      <c r="D74" s="292"/>
      <c r="E74" s="292"/>
      <c r="F74" s="292"/>
      <c r="G74" s="292"/>
      <c r="H74" s="292"/>
      <c r="I74" s="292"/>
      <c r="J74" s="292"/>
      <c r="K74" s="292"/>
      <c r="L74" s="292"/>
      <c r="M74" s="292"/>
      <c r="AA74" s="292"/>
    </row>
    <row r="75" spans="1:27" s="290" customFormat="1" ht="19" customHeight="1" x14ac:dyDescent="0.25">
      <c r="A75" s="292"/>
      <c r="B75" s="292"/>
      <c r="C75" s="292"/>
      <c r="D75" s="292"/>
      <c r="E75" s="292"/>
      <c r="F75" s="292"/>
      <c r="G75" s="292"/>
      <c r="H75" s="292"/>
      <c r="I75" s="292"/>
      <c r="J75" s="292"/>
      <c r="K75" s="292"/>
      <c r="L75" s="292"/>
      <c r="M75" s="292"/>
      <c r="AA75" s="292"/>
    </row>
    <row r="76" spans="1:27" s="290" customFormat="1" ht="19" customHeight="1" x14ac:dyDescent="0.25">
      <c r="A76" s="292"/>
      <c r="B76" s="292"/>
      <c r="C76" s="292"/>
      <c r="D76" s="292"/>
      <c r="E76" s="292"/>
      <c r="F76" s="292"/>
      <c r="G76" s="292"/>
      <c r="H76" s="292"/>
      <c r="I76" s="292"/>
      <c r="J76" s="292"/>
      <c r="K76" s="292"/>
      <c r="L76" s="292"/>
      <c r="M76" s="292"/>
      <c r="AA76" s="292"/>
    </row>
    <row r="77" spans="1:27" s="290" customFormat="1" ht="19" customHeight="1" x14ac:dyDescent="0.25">
      <c r="A77" s="292"/>
      <c r="B77" s="292"/>
      <c r="C77" s="292"/>
      <c r="D77" s="292"/>
      <c r="E77" s="292"/>
      <c r="F77" s="292"/>
      <c r="G77" s="292"/>
      <c r="H77" s="292"/>
      <c r="I77" s="292"/>
      <c r="J77" s="292"/>
      <c r="K77" s="292"/>
      <c r="L77" s="292"/>
      <c r="M77" s="292"/>
      <c r="AA77" s="292"/>
    </row>
    <row r="78" spans="1:27" s="290" customFormat="1" ht="19" customHeight="1" x14ac:dyDescent="0.25">
      <c r="A78" s="292"/>
      <c r="B78" s="292"/>
      <c r="C78" s="292"/>
      <c r="D78" s="292"/>
      <c r="E78" s="292"/>
      <c r="F78" s="292"/>
      <c r="G78" s="292"/>
      <c r="H78" s="292"/>
      <c r="I78" s="292"/>
      <c r="J78" s="292"/>
      <c r="K78" s="292"/>
      <c r="L78" s="292"/>
      <c r="M78" s="292"/>
      <c r="AA78" s="292"/>
    </row>
    <row r="79" spans="1:27" s="290" customFormat="1" ht="19" customHeight="1" x14ac:dyDescent="0.25">
      <c r="A79" s="292"/>
      <c r="B79" s="292"/>
      <c r="C79" s="292"/>
      <c r="D79" s="292"/>
      <c r="E79" s="292"/>
      <c r="F79" s="292"/>
      <c r="G79" s="292"/>
      <c r="H79" s="292"/>
      <c r="I79" s="292"/>
      <c r="J79" s="292"/>
      <c r="K79" s="292"/>
      <c r="L79" s="292"/>
      <c r="M79" s="292"/>
      <c r="AA79" s="292"/>
    </row>
    <row r="80" spans="1:27" s="290" customFormat="1" ht="19" customHeight="1" x14ac:dyDescent="0.25">
      <c r="A80" s="292"/>
      <c r="B80" s="292"/>
      <c r="C80" s="292"/>
      <c r="D80" s="292"/>
      <c r="E80" s="292"/>
      <c r="F80" s="292"/>
      <c r="G80" s="292"/>
      <c r="H80" s="292"/>
      <c r="I80" s="292"/>
      <c r="J80" s="292"/>
      <c r="K80" s="292"/>
      <c r="L80" s="292"/>
      <c r="M80" s="292"/>
      <c r="AA80" s="292"/>
    </row>
    <row r="81" spans="1:27" s="290" customFormat="1" ht="19" customHeight="1" x14ac:dyDescent="0.25">
      <c r="A81" s="292"/>
      <c r="B81" s="292"/>
      <c r="C81" s="292"/>
      <c r="D81" s="292"/>
      <c r="E81" s="292"/>
      <c r="F81" s="292"/>
      <c r="G81" s="292"/>
      <c r="H81" s="292"/>
      <c r="I81" s="292"/>
      <c r="J81" s="292"/>
      <c r="K81" s="292"/>
      <c r="L81" s="292"/>
      <c r="M81" s="292"/>
      <c r="AA81" s="292"/>
    </row>
    <row r="82" spans="1:27" s="290" customFormat="1" ht="19" customHeight="1" x14ac:dyDescent="0.25">
      <c r="A82" s="292"/>
      <c r="B82" s="292"/>
      <c r="C82" s="292"/>
      <c r="D82" s="292"/>
      <c r="E82" s="292"/>
      <c r="F82" s="292"/>
      <c r="G82" s="292"/>
      <c r="H82" s="292"/>
      <c r="I82" s="292"/>
      <c r="J82" s="292"/>
      <c r="K82" s="292"/>
      <c r="L82" s="292"/>
      <c r="M82" s="292"/>
      <c r="AA82" s="292"/>
    </row>
    <row r="83" spans="1:27" s="290" customFormat="1" ht="19" customHeight="1" x14ac:dyDescent="0.25">
      <c r="A83" s="292"/>
      <c r="B83" s="292"/>
      <c r="C83" s="292"/>
      <c r="D83" s="292"/>
      <c r="E83" s="292"/>
      <c r="F83" s="292"/>
      <c r="G83" s="292"/>
      <c r="H83" s="292"/>
      <c r="I83" s="292"/>
      <c r="J83" s="292"/>
      <c r="K83" s="292"/>
      <c r="L83" s="292"/>
      <c r="M83" s="292"/>
      <c r="AA83" s="292"/>
    </row>
    <row r="84" spans="1:27" s="290" customFormat="1" ht="19" customHeight="1" x14ac:dyDescent="0.25">
      <c r="A84" s="292"/>
      <c r="B84" s="292"/>
      <c r="C84" s="292"/>
      <c r="D84" s="292"/>
      <c r="E84" s="292"/>
      <c r="F84" s="292"/>
      <c r="G84" s="292"/>
      <c r="H84" s="292"/>
      <c r="I84" s="292"/>
      <c r="J84" s="292"/>
      <c r="K84" s="292"/>
      <c r="L84" s="292"/>
      <c r="M84" s="292"/>
      <c r="AA84" s="292"/>
    </row>
    <row r="85" spans="1:27" s="290" customFormat="1" ht="19" customHeight="1" x14ac:dyDescent="0.25">
      <c r="A85" s="292"/>
      <c r="B85" s="292"/>
      <c r="C85" s="292"/>
      <c r="D85" s="292"/>
      <c r="E85" s="292"/>
      <c r="F85" s="292"/>
      <c r="G85" s="292"/>
      <c r="H85" s="292"/>
      <c r="I85" s="292"/>
      <c r="J85" s="292"/>
      <c r="K85" s="292"/>
      <c r="L85" s="292"/>
      <c r="M85" s="292"/>
      <c r="AA85" s="292"/>
    </row>
    <row r="86" spans="1:27" s="290" customFormat="1" ht="19" customHeight="1" x14ac:dyDescent="0.25">
      <c r="A86" s="292"/>
      <c r="B86" s="292"/>
      <c r="C86" s="292"/>
      <c r="D86" s="292"/>
      <c r="E86" s="292"/>
      <c r="F86" s="292"/>
      <c r="G86" s="292"/>
      <c r="H86" s="292"/>
      <c r="I86" s="292"/>
      <c r="J86" s="292"/>
      <c r="K86" s="292"/>
      <c r="L86" s="292"/>
      <c r="M86" s="292"/>
      <c r="AA86" s="292"/>
    </row>
    <row r="87" spans="1:27" s="290" customFormat="1" ht="19" customHeight="1" x14ac:dyDescent="0.25">
      <c r="A87" s="292"/>
      <c r="B87" s="292"/>
      <c r="C87" s="292"/>
      <c r="D87" s="292"/>
      <c r="E87" s="292"/>
      <c r="F87" s="292"/>
      <c r="G87" s="292"/>
      <c r="H87" s="292"/>
      <c r="I87" s="292"/>
      <c r="J87" s="292"/>
      <c r="K87" s="292"/>
      <c r="L87" s="292"/>
      <c r="M87" s="292"/>
      <c r="AA87" s="292"/>
    </row>
    <row r="88" spans="1:27" s="290" customFormat="1" ht="19" customHeight="1" x14ac:dyDescent="0.25">
      <c r="A88" s="292"/>
      <c r="B88" s="292"/>
      <c r="C88" s="292"/>
      <c r="D88" s="292"/>
      <c r="E88" s="292"/>
      <c r="F88" s="292"/>
      <c r="G88" s="292"/>
      <c r="H88" s="292"/>
      <c r="I88" s="292"/>
      <c r="J88" s="292"/>
      <c r="K88" s="292"/>
      <c r="L88" s="292"/>
      <c r="M88" s="292"/>
      <c r="AA88" s="292"/>
    </row>
    <row r="89" spans="1:27" s="290" customFormat="1" ht="19" customHeight="1" x14ac:dyDescent="0.25">
      <c r="A89" s="292"/>
      <c r="B89" s="292"/>
      <c r="C89" s="292"/>
      <c r="D89" s="292"/>
      <c r="E89" s="292"/>
      <c r="F89" s="292"/>
      <c r="G89" s="292"/>
      <c r="H89" s="292"/>
      <c r="I89" s="292"/>
      <c r="J89" s="292"/>
      <c r="K89" s="292"/>
      <c r="L89" s="292"/>
      <c r="M89" s="292"/>
      <c r="AA89" s="292"/>
    </row>
    <row r="90" spans="1:27" s="290" customFormat="1" ht="19" customHeight="1" x14ac:dyDescent="0.25">
      <c r="A90" s="292"/>
      <c r="B90" s="292"/>
      <c r="C90" s="292"/>
      <c r="D90" s="292"/>
      <c r="E90" s="292"/>
      <c r="F90" s="292"/>
      <c r="G90" s="292"/>
      <c r="H90" s="292"/>
      <c r="I90" s="292"/>
      <c r="J90" s="292"/>
      <c r="K90" s="292"/>
      <c r="L90" s="292"/>
      <c r="M90" s="292"/>
      <c r="AA90" s="292"/>
    </row>
    <row r="91" spans="1:27" s="290" customFormat="1" ht="19" customHeight="1" x14ac:dyDescent="0.25">
      <c r="A91" s="292"/>
      <c r="B91" s="292"/>
      <c r="C91" s="292"/>
      <c r="D91" s="292"/>
      <c r="E91" s="292"/>
      <c r="F91" s="292"/>
      <c r="G91" s="292"/>
      <c r="H91" s="292"/>
      <c r="I91" s="292"/>
      <c r="J91" s="292"/>
      <c r="K91" s="292"/>
      <c r="L91" s="292"/>
      <c r="M91" s="292"/>
      <c r="AA91" s="292"/>
    </row>
    <row r="92" spans="1:27" s="290" customFormat="1" ht="19" customHeight="1" x14ac:dyDescent="0.25">
      <c r="A92" s="292"/>
      <c r="B92" s="292"/>
      <c r="C92" s="292"/>
      <c r="D92" s="292"/>
      <c r="E92" s="292"/>
      <c r="F92" s="292"/>
      <c r="G92" s="292"/>
      <c r="H92" s="292"/>
      <c r="I92" s="292"/>
      <c r="J92" s="292"/>
      <c r="K92" s="292"/>
      <c r="L92" s="292"/>
      <c r="M92" s="292"/>
      <c r="AA92" s="292"/>
    </row>
    <row r="93" spans="1:27" s="290" customFormat="1" ht="19" customHeight="1" x14ac:dyDescent="0.25">
      <c r="A93" s="292"/>
      <c r="B93" s="292"/>
      <c r="C93" s="292"/>
      <c r="D93" s="292"/>
      <c r="E93" s="292"/>
      <c r="F93" s="292"/>
      <c r="G93" s="292"/>
      <c r="H93" s="292"/>
      <c r="I93" s="292"/>
      <c r="J93" s="292"/>
      <c r="K93" s="292"/>
      <c r="L93" s="292"/>
      <c r="M93" s="292"/>
      <c r="AA93" s="292"/>
    </row>
    <row r="94" spans="1:27" s="290" customFormat="1" ht="19" customHeight="1" x14ac:dyDescent="0.25">
      <c r="A94" s="292"/>
      <c r="B94" s="292"/>
      <c r="C94" s="292"/>
      <c r="D94" s="292"/>
      <c r="E94" s="292"/>
      <c r="F94" s="292"/>
      <c r="G94" s="292"/>
      <c r="H94" s="292"/>
      <c r="I94" s="292"/>
      <c r="J94" s="292"/>
      <c r="K94" s="292"/>
      <c r="L94" s="292"/>
      <c r="M94" s="292"/>
      <c r="AA94" s="292"/>
    </row>
    <row r="95" spans="1:27" s="290" customFormat="1" ht="19" customHeight="1" x14ac:dyDescent="0.25">
      <c r="A95" s="292"/>
      <c r="B95" s="292"/>
      <c r="C95" s="292"/>
      <c r="D95" s="292"/>
      <c r="E95" s="292"/>
      <c r="F95" s="292"/>
      <c r="G95" s="292"/>
      <c r="H95" s="292"/>
      <c r="I95" s="292"/>
      <c r="J95" s="292"/>
      <c r="K95" s="292"/>
      <c r="L95" s="292"/>
      <c r="M95" s="292"/>
      <c r="AA95" s="292"/>
    </row>
    <row r="96" spans="1:27" s="290" customFormat="1" ht="19" customHeight="1" x14ac:dyDescent="0.25">
      <c r="A96" s="292"/>
      <c r="B96" s="292"/>
      <c r="C96" s="292"/>
      <c r="D96" s="292"/>
      <c r="E96" s="292"/>
      <c r="F96" s="292"/>
      <c r="G96" s="292"/>
      <c r="H96" s="292"/>
      <c r="I96" s="292"/>
      <c r="J96" s="292"/>
      <c r="K96" s="292"/>
      <c r="L96" s="292"/>
      <c r="M96" s="292"/>
      <c r="AA96" s="292"/>
    </row>
    <row r="97" spans="1:27" s="290" customFormat="1" ht="19" customHeight="1" x14ac:dyDescent="0.25">
      <c r="A97" s="292"/>
      <c r="B97" s="292"/>
      <c r="C97" s="292"/>
      <c r="D97" s="292"/>
      <c r="E97" s="292"/>
      <c r="F97" s="292"/>
      <c r="G97" s="292"/>
      <c r="H97" s="292"/>
      <c r="I97" s="292"/>
      <c r="J97" s="292"/>
      <c r="K97" s="292"/>
      <c r="L97" s="292"/>
      <c r="M97" s="292"/>
      <c r="AA97" s="292"/>
    </row>
    <row r="98" spans="1:27" s="290" customFormat="1" ht="19" customHeight="1" x14ac:dyDescent="0.25">
      <c r="A98" s="292"/>
      <c r="B98" s="292"/>
      <c r="C98" s="292"/>
      <c r="D98" s="292"/>
      <c r="E98" s="292"/>
      <c r="F98" s="292"/>
      <c r="G98" s="292"/>
      <c r="H98" s="292"/>
      <c r="I98" s="292"/>
      <c r="J98" s="292"/>
      <c r="K98" s="292"/>
      <c r="L98" s="292"/>
      <c r="M98" s="292"/>
      <c r="AA98" s="292"/>
    </row>
    <row r="99" spans="1:27" s="290" customFormat="1" ht="19" customHeight="1" x14ac:dyDescent="0.25">
      <c r="A99" s="292"/>
      <c r="B99" s="292"/>
      <c r="C99" s="292"/>
      <c r="D99" s="292"/>
      <c r="E99" s="292"/>
      <c r="F99" s="292"/>
      <c r="G99" s="292"/>
      <c r="H99" s="292"/>
      <c r="I99" s="292"/>
      <c r="J99" s="292"/>
      <c r="K99" s="292"/>
      <c r="L99" s="292"/>
      <c r="M99" s="292"/>
      <c r="AA99" s="292"/>
    </row>
    <row r="100" spans="1:27" s="290" customFormat="1" ht="19" customHeight="1" x14ac:dyDescent="0.25">
      <c r="A100" s="292"/>
      <c r="B100" s="292"/>
      <c r="C100" s="292"/>
      <c r="D100" s="292"/>
      <c r="E100" s="292"/>
      <c r="F100" s="292"/>
      <c r="G100" s="292"/>
      <c r="H100" s="292"/>
      <c r="I100" s="292"/>
      <c r="J100" s="292"/>
      <c r="K100" s="292"/>
      <c r="L100" s="292"/>
      <c r="M100" s="292"/>
      <c r="AA100" s="292"/>
    </row>
    <row r="101" spans="1:27" s="290" customFormat="1" ht="19" customHeight="1" x14ac:dyDescent="0.25">
      <c r="A101" s="292"/>
      <c r="B101" s="292"/>
      <c r="C101" s="292"/>
      <c r="D101" s="292"/>
      <c r="E101" s="292"/>
      <c r="F101" s="292"/>
      <c r="G101" s="292"/>
      <c r="H101" s="292"/>
      <c r="I101" s="292"/>
      <c r="J101" s="292"/>
      <c r="K101" s="292"/>
      <c r="L101" s="292"/>
      <c r="M101" s="292"/>
      <c r="AA101" s="292"/>
    </row>
    <row r="102" spans="1:27" s="290" customFormat="1" ht="19" customHeight="1" x14ac:dyDescent="0.25">
      <c r="A102" s="292"/>
      <c r="B102" s="292"/>
      <c r="C102" s="292"/>
      <c r="D102" s="292"/>
      <c r="E102" s="292"/>
      <c r="F102" s="292"/>
      <c r="G102" s="292"/>
      <c r="H102" s="292"/>
      <c r="I102" s="292"/>
      <c r="J102" s="292"/>
      <c r="K102" s="292"/>
      <c r="L102" s="292"/>
      <c r="M102" s="292"/>
      <c r="AA102" s="292"/>
    </row>
    <row r="103" spans="1:27" s="290" customFormat="1" ht="19" customHeight="1" x14ac:dyDescent="0.25">
      <c r="A103" s="292"/>
      <c r="B103" s="292"/>
      <c r="C103" s="292"/>
      <c r="D103" s="292"/>
      <c r="E103" s="292"/>
      <c r="F103" s="292"/>
      <c r="G103" s="292"/>
      <c r="H103" s="292"/>
      <c r="I103" s="292"/>
      <c r="J103" s="292"/>
      <c r="K103" s="292"/>
      <c r="L103" s="292"/>
      <c r="M103" s="292"/>
      <c r="AA103" s="292"/>
    </row>
    <row r="104" spans="1:27" s="290" customFormat="1" ht="19" customHeight="1" x14ac:dyDescent="0.25">
      <c r="A104" s="292"/>
      <c r="B104" s="292"/>
      <c r="C104" s="292"/>
      <c r="D104" s="292"/>
      <c r="E104" s="292"/>
      <c r="F104" s="292"/>
      <c r="G104" s="292"/>
      <c r="H104" s="292"/>
      <c r="I104" s="292"/>
      <c r="J104" s="292"/>
      <c r="K104" s="292"/>
      <c r="L104" s="292"/>
      <c r="M104" s="292"/>
      <c r="AA104" s="292"/>
    </row>
    <row r="105" spans="1:27" s="290" customFormat="1" ht="19" customHeight="1" x14ac:dyDescent="0.25">
      <c r="A105" s="292"/>
      <c r="B105" s="292"/>
      <c r="C105" s="292"/>
      <c r="D105" s="292"/>
      <c r="E105" s="292"/>
      <c r="F105" s="292"/>
      <c r="G105" s="292"/>
      <c r="H105" s="292"/>
      <c r="I105" s="292"/>
      <c r="J105" s="292"/>
      <c r="K105" s="292"/>
      <c r="L105" s="292"/>
      <c r="M105" s="292"/>
      <c r="AA105" s="292"/>
    </row>
    <row r="106" spans="1:27" s="290" customFormat="1" ht="19" customHeight="1" x14ac:dyDescent="0.25">
      <c r="A106" s="292"/>
      <c r="B106" s="292"/>
      <c r="C106" s="292"/>
      <c r="D106" s="292"/>
      <c r="E106" s="292"/>
      <c r="F106" s="292"/>
      <c r="G106" s="292"/>
      <c r="H106" s="292"/>
      <c r="I106" s="292"/>
      <c r="J106" s="292"/>
      <c r="K106" s="292"/>
      <c r="L106" s="292"/>
      <c r="M106" s="292"/>
      <c r="AA106" s="292"/>
    </row>
    <row r="107" spans="1:27" s="290" customFormat="1" ht="19" customHeight="1" x14ac:dyDescent="0.25">
      <c r="A107" s="292"/>
      <c r="B107" s="292"/>
      <c r="C107" s="292"/>
      <c r="D107" s="292"/>
      <c r="E107" s="292"/>
      <c r="F107" s="292"/>
      <c r="G107" s="292"/>
      <c r="H107" s="292"/>
      <c r="I107" s="292"/>
      <c r="J107" s="292"/>
      <c r="K107" s="292"/>
      <c r="L107" s="292"/>
      <c r="M107" s="292"/>
      <c r="AA107" s="292"/>
    </row>
    <row r="108" spans="1:27" s="290" customFormat="1" ht="19" customHeight="1" x14ac:dyDescent="0.25">
      <c r="A108" s="292"/>
      <c r="B108" s="292"/>
      <c r="C108" s="292"/>
      <c r="D108" s="292"/>
      <c r="E108" s="292"/>
      <c r="F108" s="292"/>
      <c r="G108" s="292"/>
      <c r="H108" s="292"/>
      <c r="I108" s="292"/>
      <c r="J108" s="292"/>
      <c r="K108" s="292"/>
      <c r="L108" s="292"/>
      <c r="M108" s="292"/>
      <c r="AA108" s="292"/>
    </row>
    <row r="109" spans="1:27" s="290" customFormat="1" ht="19" customHeight="1" x14ac:dyDescent="0.25">
      <c r="A109" s="292"/>
      <c r="B109" s="292"/>
      <c r="C109" s="292"/>
      <c r="D109" s="292"/>
      <c r="E109" s="292"/>
      <c r="F109" s="292"/>
      <c r="G109" s="292"/>
      <c r="H109" s="292"/>
      <c r="I109" s="292"/>
      <c r="J109" s="292"/>
      <c r="K109" s="292"/>
      <c r="L109" s="292"/>
      <c r="M109" s="292"/>
      <c r="AA109" s="292"/>
    </row>
    <row r="110" spans="1:27" s="290" customFormat="1" ht="19" customHeight="1" x14ac:dyDescent="0.25">
      <c r="A110" s="292"/>
      <c r="B110" s="292"/>
      <c r="C110" s="292"/>
      <c r="D110" s="292"/>
      <c r="E110" s="292"/>
      <c r="F110" s="292"/>
      <c r="G110" s="292"/>
      <c r="H110" s="292"/>
      <c r="I110" s="292"/>
      <c r="J110" s="292"/>
      <c r="K110" s="292"/>
      <c r="L110" s="292"/>
      <c r="M110" s="292"/>
      <c r="AA110" s="292"/>
    </row>
    <row r="111" spans="1:27" s="290" customFormat="1" ht="19" customHeight="1" x14ac:dyDescent="0.25">
      <c r="A111" s="292"/>
      <c r="B111" s="292"/>
      <c r="C111" s="292"/>
      <c r="D111" s="292"/>
      <c r="E111" s="292"/>
      <c r="F111" s="292"/>
      <c r="G111" s="292"/>
      <c r="H111" s="292"/>
      <c r="I111" s="292"/>
      <c r="J111" s="292"/>
      <c r="K111" s="292"/>
      <c r="L111" s="292"/>
      <c r="M111" s="292"/>
      <c r="AA111" s="292"/>
    </row>
    <row r="112" spans="1:27" s="290" customFormat="1" ht="19" customHeight="1" x14ac:dyDescent="0.25">
      <c r="A112" s="292"/>
      <c r="B112" s="292"/>
      <c r="C112" s="292"/>
      <c r="D112" s="292"/>
      <c r="E112" s="292"/>
      <c r="F112" s="292"/>
      <c r="G112" s="292"/>
      <c r="H112" s="292"/>
      <c r="I112" s="292"/>
      <c r="J112" s="292"/>
      <c r="K112" s="292"/>
      <c r="L112" s="292"/>
      <c r="M112" s="292"/>
      <c r="AA112" s="292"/>
    </row>
    <row r="113" spans="1:27" s="290" customFormat="1" ht="19" customHeight="1" x14ac:dyDescent="0.25">
      <c r="A113" s="292"/>
      <c r="B113" s="292"/>
      <c r="C113" s="292"/>
      <c r="D113" s="292"/>
      <c r="E113" s="292"/>
      <c r="F113" s="292"/>
      <c r="G113" s="292"/>
      <c r="H113" s="292"/>
      <c r="I113" s="292"/>
      <c r="J113" s="292"/>
      <c r="K113" s="292"/>
      <c r="L113" s="292"/>
      <c r="M113" s="292"/>
      <c r="AA113" s="292"/>
    </row>
    <row r="114" spans="1:27" s="290" customFormat="1" ht="19" customHeight="1" x14ac:dyDescent="0.25">
      <c r="A114" s="292"/>
      <c r="B114" s="292"/>
      <c r="C114" s="292"/>
      <c r="D114" s="292"/>
      <c r="E114" s="292"/>
      <c r="F114" s="292"/>
      <c r="G114" s="292"/>
      <c r="H114" s="292"/>
      <c r="I114" s="292"/>
      <c r="J114" s="292"/>
      <c r="K114" s="292"/>
      <c r="L114" s="292"/>
      <c r="M114" s="292"/>
      <c r="AA114" s="292"/>
    </row>
    <row r="115" spans="1:27" ht="19" customHeight="1" x14ac:dyDescent="0.55000000000000004"/>
    <row r="116" spans="1:27" ht="19" customHeight="1" x14ac:dyDescent="0.55000000000000004"/>
    <row r="117" spans="1:27" ht="19" customHeight="1" x14ac:dyDescent="0.55000000000000004"/>
    <row r="118" spans="1:27" ht="19" customHeight="1" x14ac:dyDescent="0.55000000000000004"/>
    <row r="119" spans="1:27" ht="19" customHeight="1" x14ac:dyDescent="0.55000000000000004"/>
    <row r="120" spans="1:27" ht="19" customHeight="1" x14ac:dyDescent="0.55000000000000004"/>
  </sheetData>
  <phoneticPr fontId="51" type="noConversion"/>
  <pageMargins left="0.25" right="0.25" top="0.75" bottom="0.75" header="0.3" footer="0.3"/>
  <pageSetup scale="2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pageSetUpPr fitToPage="1"/>
  </sheetPr>
  <dimension ref="A1:P86"/>
  <sheetViews>
    <sheetView topLeftCell="E1" zoomScale="75" zoomScaleNormal="75" workbookViewId="0">
      <pane ySplit="6" topLeftCell="A64" activePane="bottomLeft" state="frozen"/>
      <selection activeCell="C1" sqref="C1"/>
      <selection pane="bottomLeft" activeCell="M4" sqref="M4"/>
    </sheetView>
  </sheetViews>
  <sheetFormatPr defaultRowHeight="13" x14ac:dyDescent="0.3"/>
  <cols>
    <col min="1" max="1" width="9.7265625" style="23" customWidth="1"/>
    <col min="2" max="2" width="11.08984375" bestFit="1" customWidth="1"/>
    <col min="3" max="3" width="12" bestFit="1" customWidth="1"/>
    <col min="4" max="4" width="50.6328125" customWidth="1"/>
    <col min="5" max="5" width="44.90625" customWidth="1"/>
    <col min="6" max="6" width="14.54296875" bestFit="1" customWidth="1"/>
    <col min="7" max="7" width="9.7265625" style="9" bestFit="1" customWidth="1"/>
    <col min="8" max="8" width="14.54296875" bestFit="1" customWidth="1"/>
    <col min="9" max="9" width="14.54296875" style="5" bestFit="1" customWidth="1"/>
    <col min="10" max="10" width="14.54296875" bestFit="1" customWidth="1"/>
    <col min="11" max="11" width="9.26953125" bestFit="1" customWidth="1"/>
    <col min="12" max="12" width="14.54296875" bestFit="1" customWidth="1"/>
    <col min="13" max="13" width="14.6328125" style="266" customWidth="1"/>
    <col min="14" max="14" width="13.54296875" bestFit="1" customWidth="1"/>
    <col min="15" max="15" width="14.54296875" bestFit="1" customWidth="1"/>
    <col min="16" max="16" width="9.453125" bestFit="1" customWidth="1"/>
    <col min="17" max="17" width="17.453125" bestFit="1" customWidth="1"/>
    <col min="18" max="18" width="14" bestFit="1" customWidth="1"/>
  </cols>
  <sheetData>
    <row r="1" spans="1:16" s="46" customFormat="1" ht="23" x14ac:dyDescent="0.5">
      <c r="A1" s="45" t="s">
        <v>810</v>
      </c>
      <c r="B1" s="148"/>
      <c r="C1" s="56"/>
      <c r="D1" s="47"/>
      <c r="E1" s="48"/>
      <c r="G1" s="47"/>
      <c r="I1" s="165"/>
      <c r="J1" s="166"/>
      <c r="K1" s="166"/>
      <c r="M1" s="260"/>
    </row>
    <row r="2" spans="1:16" s="170" customFormat="1" ht="18" x14ac:dyDescent="0.4">
      <c r="A2" s="85" t="s">
        <v>811</v>
      </c>
      <c r="B2" s="167"/>
      <c r="C2" s="168"/>
      <c r="D2" s="169"/>
      <c r="E2" s="169"/>
      <c r="G2" s="171"/>
      <c r="I2" s="172"/>
      <c r="J2" s="173"/>
      <c r="K2" s="173"/>
      <c r="M2" s="261"/>
    </row>
    <row r="3" spans="1:16" s="170" customFormat="1" ht="18" x14ac:dyDescent="0.4">
      <c r="A3" s="3" t="s">
        <v>850</v>
      </c>
      <c r="B3" s="174"/>
      <c r="C3" s="175"/>
      <c r="D3" s="171"/>
      <c r="E3" s="176"/>
      <c r="G3" s="171"/>
      <c r="I3" s="172"/>
      <c r="J3" s="173"/>
      <c r="K3" s="173"/>
      <c r="M3" s="261"/>
    </row>
    <row r="4" spans="1:16" s="199" customFormat="1" ht="12.75" customHeight="1" x14ac:dyDescent="0.25">
      <c r="B4" s="201"/>
      <c r="C4" s="201"/>
      <c r="D4" s="202"/>
      <c r="E4" s="202"/>
      <c r="G4" s="203"/>
      <c r="I4" s="200">
        <f>'Financial Assumptions'!H4</f>
        <v>1.77E-2</v>
      </c>
      <c r="J4" s="200"/>
      <c r="K4" s="200"/>
      <c r="M4" s="346">
        <f>'Population Projections'!C36</f>
        <v>0.23407892834770871</v>
      </c>
    </row>
    <row r="5" spans="1:16" s="14" customFormat="1" ht="12.75" customHeight="1" x14ac:dyDescent="0.3">
      <c r="A5" s="7"/>
      <c r="B5" s="74"/>
      <c r="C5" s="74"/>
      <c r="D5" s="74"/>
      <c r="E5" s="74"/>
      <c r="F5" s="7" t="s">
        <v>7</v>
      </c>
      <c r="G5" s="29" t="s">
        <v>10</v>
      </c>
      <c r="H5" s="7" t="s">
        <v>8</v>
      </c>
      <c r="I5" s="64" t="s">
        <v>313</v>
      </c>
      <c r="J5" s="7" t="s">
        <v>7</v>
      </c>
      <c r="K5" s="7" t="s">
        <v>744</v>
      </c>
      <c r="L5" s="7" t="s">
        <v>436</v>
      </c>
      <c r="M5" s="262" t="s">
        <v>438</v>
      </c>
      <c r="N5" s="7" t="s">
        <v>438</v>
      </c>
      <c r="O5" s="7" t="s">
        <v>11</v>
      </c>
    </row>
    <row r="6" spans="1:16" s="15" customFormat="1" ht="12.75" customHeight="1" x14ac:dyDescent="0.3">
      <c r="A6" s="16" t="s">
        <v>26</v>
      </c>
      <c r="B6" s="15" t="s">
        <v>5</v>
      </c>
      <c r="C6" s="16" t="s">
        <v>26</v>
      </c>
      <c r="D6" s="15" t="s">
        <v>0</v>
      </c>
      <c r="E6" s="139" t="s">
        <v>316</v>
      </c>
      <c r="F6" s="16" t="s">
        <v>9</v>
      </c>
      <c r="G6" s="38" t="s">
        <v>2</v>
      </c>
      <c r="H6" s="16" t="s">
        <v>9</v>
      </c>
      <c r="I6" s="138" t="s">
        <v>12</v>
      </c>
      <c r="J6" s="16" t="s">
        <v>314</v>
      </c>
      <c r="K6" s="138" t="s">
        <v>756</v>
      </c>
      <c r="L6" s="108" t="s">
        <v>437</v>
      </c>
      <c r="M6" s="263" t="s">
        <v>439</v>
      </c>
      <c r="N6" s="108" t="s">
        <v>440</v>
      </c>
      <c r="O6" s="16" t="s">
        <v>9</v>
      </c>
    </row>
    <row r="7" spans="1:16" s="14" customFormat="1" x14ac:dyDescent="0.3">
      <c r="A7" s="7"/>
      <c r="I7" s="74"/>
      <c r="M7" s="262"/>
    </row>
    <row r="8" spans="1:16" s="74" customFormat="1" x14ac:dyDescent="0.3">
      <c r="A8" s="64"/>
      <c r="B8" s="65">
        <v>2014</v>
      </c>
      <c r="C8" s="65"/>
      <c r="D8" s="63"/>
      <c r="E8" s="63"/>
      <c r="F8" s="67">
        <v>0</v>
      </c>
      <c r="G8" s="68">
        <f>VLOOKUP(B8,'Escalation Factors'!$A$6:$B$44,2,FALSE)</f>
        <v>1</v>
      </c>
      <c r="H8" s="67">
        <f>F8*G8</f>
        <v>0</v>
      </c>
      <c r="I8" s="66">
        <v>0</v>
      </c>
      <c r="J8" s="67">
        <f>H8+I8</f>
        <v>0</v>
      </c>
      <c r="K8" s="79">
        <v>0</v>
      </c>
      <c r="L8" s="67">
        <f t="shared" ref="L8" si="0">J8*K8</f>
        <v>0</v>
      </c>
      <c r="M8" s="264"/>
      <c r="N8" s="67">
        <f>(J8-L8)*M8</f>
        <v>0</v>
      </c>
      <c r="O8" s="67">
        <f>J8-L8-N8</f>
        <v>0</v>
      </c>
      <c r="P8" s="65"/>
    </row>
    <row r="9" spans="1:16" s="74" customFormat="1" x14ac:dyDescent="0.3">
      <c r="A9" s="64"/>
      <c r="B9" s="69">
        <v>2014</v>
      </c>
      <c r="C9" s="69"/>
      <c r="D9" s="70"/>
      <c r="E9" s="140" t="s">
        <v>13</v>
      </c>
      <c r="F9" s="71">
        <f>SUBTOTAL(9,F8:F8)</f>
        <v>0</v>
      </c>
      <c r="G9" s="71"/>
      <c r="H9" s="71">
        <f>SUBTOTAL(9,H8:H8)</f>
        <v>0</v>
      </c>
      <c r="I9" s="71">
        <f>SUBTOTAL(9,I8:I8)</f>
        <v>0</v>
      </c>
      <c r="J9" s="71">
        <f>SUBTOTAL(9,J8:J8)</f>
        <v>0</v>
      </c>
      <c r="K9" s="71"/>
      <c r="L9" s="71">
        <f>SUBTOTAL(9,L8:L8)</f>
        <v>0</v>
      </c>
      <c r="M9" s="265"/>
      <c r="N9" s="71">
        <f>SUBTOTAL(9,N8:N8)</f>
        <v>0</v>
      </c>
      <c r="O9" s="71">
        <f>SUBTOTAL(9,O8:O8)</f>
        <v>0</v>
      </c>
      <c r="P9" s="69">
        <v>2014</v>
      </c>
    </row>
    <row r="10" spans="1:16" s="74" customFormat="1" x14ac:dyDescent="0.3">
      <c r="A10" s="64"/>
      <c r="B10" s="65">
        <v>2015</v>
      </c>
      <c r="C10" s="65"/>
      <c r="D10" s="63"/>
      <c r="E10" s="63"/>
      <c r="F10" s="67">
        <v>0</v>
      </c>
      <c r="G10" s="68">
        <f>VLOOKUP(B10,'Escalation Factors'!$A$6:$B$44,2,FALSE)</f>
        <v>1</v>
      </c>
      <c r="H10" s="67">
        <f>F10*G10</f>
        <v>0</v>
      </c>
      <c r="I10" s="66">
        <v>0</v>
      </c>
      <c r="J10" s="67">
        <f>H10+I10</f>
        <v>0</v>
      </c>
      <c r="K10" s="79">
        <v>0</v>
      </c>
      <c r="L10" s="67">
        <f t="shared" ref="L10" si="1">J10*K10</f>
        <v>0</v>
      </c>
      <c r="M10" s="264"/>
      <c r="N10" s="67">
        <f>(J10-L10)*M10</f>
        <v>0</v>
      </c>
      <c r="O10" s="67">
        <f>J10-L10-N10</f>
        <v>0</v>
      </c>
      <c r="P10" s="65"/>
    </row>
    <row r="11" spans="1:16" s="14" customFormat="1" x14ac:dyDescent="0.3">
      <c r="A11" s="64"/>
      <c r="B11" s="69">
        <v>2015</v>
      </c>
      <c r="C11" s="69"/>
      <c r="D11" s="70"/>
      <c r="E11" s="140" t="s">
        <v>13</v>
      </c>
      <c r="F11" s="71">
        <f t="shared" ref="F11" si="2">SUBTOTAL(9,F10:F10)</f>
        <v>0</v>
      </c>
      <c r="G11" s="71"/>
      <c r="H11" s="71">
        <f t="shared" ref="H11:O11" si="3">SUBTOTAL(9,H10:H10)</f>
        <v>0</v>
      </c>
      <c r="I11" s="71">
        <f t="shared" si="3"/>
        <v>0</v>
      </c>
      <c r="J11" s="71">
        <f t="shared" si="3"/>
        <v>0</v>
      </c>
      <c r="K11" s="71"/>
      <c r="L11" s="71">
        <f t="shared" si="3"/>
        <v>0</v>
      </c>
      <c r="M11" s="265"/>
      <c r="N11" s="71">
        <f t="shared" si="3"/>
        <v>0</v>
      </c>
      <c r="O11" s="71">
        <f t="shared" si="3"/>
        <v>0</v>
      </c>
      <c r="P11" s="69">
        <v>2015</v>
      </c>
    </row>
    <row r="12" spans="1:16" s="74" customFormat="1" x14ac:dyDescent="0.3">
      <c r="A12" s="64"/>
      <c r="B12" s="65">
        <v>2016</v>
      </c>
      <c r="C12" s="65"/>
      <c r="D12" s="63"/>
      <c r="E12" s="63"/>
      <c r="F12" s="67">
        <v>0</v>
      </c>
      <c r="G12" s="68">
        <f>VLOOKUP(B12,'Escalation Factors'!$A$6:$B$44,2,FALSE)</f>
        <v>1</v>
      </c>
      <c r="H12" s="67">
        <f>F12*G12</f>
        <v>0</v>
      </c>
      <c r="I12" s="66">
        <v>0</v>
      </c>
      <c r="J12" s="67">
        <f>H12+I12</f>
        <v>0</v>
      </c>
      <c r="K12" s="79">
        <v>0</v>
      </c>
      <c r="L12" s="67">
        <f t="shared" ref="L12" si="4">J12*K12</f>
        <v>0</v>
      </c>
      <c r="M12" s="264"/>
      <c r="N12" s="67">
        <f>(J12-L12)*M12</f>
        <v>0</v>
      </c>
      <c r="O12" s="67">
        <f>J12-L12-N12</f>
        <v>0</v>
      </c>
      <c r="P12" s="65"/>
    </row>
    <row r="13" spans="1:16" s="14" customFormat="1" x14ac:dyDescent="0.3">
      <c r="A13" s="64"/>
      <c r="B13" s="69">
        <v>2016</v>
      </c>
      <c r="C13" s="69"/>
      <c r="D13" s="70"/>
      <c r="E13" s="140" t="s">
        <v>13</v>
      </c>
      <c r="F13" s="71">
        <f t="shared" ref="F13" si="5">SUBTOTAL(9,F12:F12)</f>
        <v>0</v>
      </c>
      <c r="G13" s="71"/>
      <c r="H13" s="71">
        <f t="shared" ref="H13:N13" si="6">SUBTOTAL(9,H12:H12)</f>
        <v>0</v>
      </c>
      <c r="I13" s="71">
        <f t="shared" si="6"/>
        <v>0</v>
      </c>
      <c r="J13" s="71">
        <f t="shared" si="6"/>
        <v>0</v>
      </c>
      <c r="K13" s="71"/>
      <c r="L13" s="71">
        <f t="shared" si="6"/>
        <v>0</v>
      </c>
      <c r="M13" s="265"/>
      <c r="N13" s="71">
        <f t="shared" si="6"/>
        <v>0</v>
      </c>
      <c r="O13" s="71">
        <f>SUBTOTAL(9,O12:O12)</f>
        <v>0</v>
      </c>
      <c r="P13" s="69">
        <v>2016</v>
      </c>
    </row>
    <row r="14" spans="1:16" s="74" customFormat="1" x14ac:dyDescent="0.3">
      <c r="A14" s="64"/>
      <c r="B14" s="65">
        <v>2017</v>
      </c>
      <c r="C14" s="65"/>
      <c r="D14" s="63"/>
      <c r="E14" s="63"/>
      <c r="F14" s="67">
        <v>0</v>
      </c>
      <c r="G14" s="68">
        <f>VLOOKUP(B14,'Escalation Factors'!$A$6:$B$44,2,FALSE)</f>
        <v>1</v>
      </c>
      <c r="H14" s="67">
        <f t="shared" ref="H14" si="7">F14*G14</f>
        <v>0</v>
      </c>
      <c r="I14" s="66">
        <v>0</v>
      </c>
      <c r="J14" s="67">
        <f>H14+I14</f>
        <v>0</v>
      </c>
      <c r="K14" s="79">
        <v>0</v>
      </c>
      <c r="L14" s="67">
        <f t="shared" ref="L14" si="8">J14*K14</f>
        <v>0</v>
      </c>
      <c r="M14" s="264"/>
      <c r="N14" s="67">
        <f>(J14-L14)*M14</f>
        <v>0</v>
      </c>
      <c r="O14" s="67">
        <f>J14-L14-N14</f>
        <v>0</v>
      </c>
      <c r="P14" s="65"/>
    </row>
    <row r="15" spans="1:16" s="14" customFormat="1" x14ac:dyDescent="0.3">
      <c r="A15" s="64"/>
      <c r="B15" s="69">
        <v>2017</v>
      </c>
      <c r="C15" s="69"/>
      <c r="D15" s="70"/>
      <c r="E15" s="140" t="s">
        <v>13</v>
      </c>
      <c r="F15" s="71">
        <f>SUBTOTAL(9,F14:F14)</f>
        <v>0</v>
      </c>
      <c r="G15" s="71"/>
      <c r="H15" s="71">
        <f>SUBTOTAL(9,H14:H14)</f>
        <v>0</v>
      </c>
      <c r="I15" s="71">
        <f>SUBTOTAL(9,I14:I14)</f>
        <v>0</v>
      </c>
      <c r="J15" s="71">
        <f>SUBTOTAL(9,J14:J14)</f>
        <v>0</v>
      </c>
      <c r="K15" s="71"/>
      <c r="L15" s="71">
        <f>SUBTOTAL(9,L14:L14)</f>
        <v>0</v>
      </c>
      <c r="M15" s="265"/>
      <c r="N15" s="71">
        <f>SUBTOTAL(9,N14:N14)</f>
        <v>0</v>
      </c>
      <c r="O15" s="71">
        <f>SUBTOTAL(9,O14:O14)</f>
        <v>0</v>
      </c>
      <c r="P15" s="69">
        <v>2017</v>
      </c>
    </row>
    <row r="16" spans="1:16" s="74" customFormat="1" x14ac:dyDescent="0.3">
      <c r="A16" s="64"/>
      <c r="B16" s="65">
        <v>2018</v>
      </c>
      <c r="C16" s="65"/>
      <c r="D16" s="63"/>
      <c r="E16" s="63"/>
      <c r="F16" s="67">
        <v>0</v>
      </c>
      <c r="G16" s="68">
        <f>VLOOKUP(B16,'Escalation Factors'!$A$6:$B$44,2,FALSE)</f>
        <v>1</v>
      </c>
      <c r="H16" s="67">
        <f>F16*G16</f>
        <v>0</v>
      </c>
      <c r="I16" s="66">
        <v>0</v>
      </c>
      <c r="J16" s="67">
        <f>H16+I16</f>
        <v>0</v>
      </c>
      <c r="K16" s="79">
        <v>0</v>
      </c>
      <c r="L16" s="67">
        <f t="shared" ref="L16" si="9">J16*K16</f>
        <v>0</v>
      </c>
      <c r="M16" s="264"/>
      <c r="N16" s="67">
        <f>(J16-L16)*M16</f>
        <v>0</v>
      </c>
      <c r="O16" s="67">
        <f>J16-L16-N16</f>
        <v>0</v>
      </c>
      <c r="P16" s="65"/>
    </row>
    <row r="17" spans="1:16" s="14" customFormat="1" x14ac:dyDescent="0.3">
      <c r="A17" s="64"/>
      <c r="B17" s="69">
        <v>2018</v>
      </c>
      <c r="C17" s="69"/>
      <c r="D17" s="70"/>
      <c r="E17" s="140" t="s">
        <v>13</v>
      </c>
      <c r="F17" s="71">
        <f>SUBTOTAL(9,F16)</f>
        <v>0</v>
      </c>
      <c r="G17" s="71"/>
      <c r="H17" s="71">
        <f t="shared" ref="H17:N17" si="10">SUBTOTAL(9,H16)</f>
        <v>0</v>
      </c>
      <c r="I17" s="71">
        <f t="shared" si="10"/>
        <v>0</v>
      </c>
      <c r="J17" s="71">
        <f t="shared" si="10"/>
        <v>0</v>
      </c>
      <c r="K17" s="71"/>
      <c r="L17" s="71">
        <f t="shared" si="10"/>
        <v>0</v>
      </c>
      <c r="M17" s="265"/>
      <c r="N17" s="71">
        <f t="shared" si="10"/>
        <v>0</v>
      </c>
      <c r="O17" s="71">
        <f>SUBTOTAL(9,O16)</f>
        <v>0</v>
      </c>
      <c r="P17" s="69">
        <v>2018</v>
      </c>
    </row>
    <row r="18" spans="1:16" s="14" customFormat="1" x14ac:dyDescent="0.3">
      <c r="A18" s="64"/>
      <c r="B18" s="65" t="s">
        <v>823</v>
      </c>
      <c r="C18" s="65" t="s">
        <v>463</v>
      </c>
      <c r="D18" s="63" t="s">
        <v>464</v>
      </c>
      <c r="E18" s="63" t="s">
        <v>465</v>
      </c>
      <c r="F18" s="67">
        <v>395000</v>
      </c>
      <c r="G18" s="68">
        <f>VLOOKUP(B18,'Escalation Factors'!$C$18:$D$44,2,FALSE)</f>
        <v>1.0044808861486327</v>
      </c>
      <c r="H18" s="67">
        <f t="shared" ref="H18:H27" si="11">F18*G18</f>
        <v>396769.95002870995</v>
      </c>
      <c r="I18" s="66">
        <f t="shared" ref="I18:I27" si="12">H18*$I$4</f>
        <v>7022.8281155081659</v>
      </c>
      <c r="J18" s="67">
        <f t="shared" ref="J18:J27" si="13">H18+I18</f>
        <v>403792.77814421814</v>
      </c>
      <c r="K18" s="79">
        <v>1</v>
      </c>
      <c r="L18" s="67">
        <f t="shared" ref="L18:L27" si="14">J18*K18</f>
        <v>403792.77814421814</v>
      </c>
      <c r="M18" s="264">
        <v>0</v>
      </c>
      <c r="N18" s="67">
        <f>(J18-L18)*M18</f>
        <v>0</v>
      </c>
      <c r="O18" s="67">
        <f t="shared" ref="O18:O19" si="15">J18-L18-N18</f>
        <v>0</v>
      </c>
      <c r="P18" s="65"/>
    </row>
    <row r="19" spans="1:16" s="14" customFormat="1" x14ac:dyDescent="0.3">
      <c r="A19" s="64"/>
      <c r="B19" s="65" t="s">
        <v>823</v>
      </c>
      <c r="C19" s="65" t="s">
        <v>466</v>
      </c>
      <c r="D19" s="63" t="s">
        <v>467</v>
      </c>
      <c r="E19" s="63" t="s">
        <v>465</v>
      </c>
      <c r="F19" s="67">
        <v>3585000</v>
      </c>
      <c r="G19" s="68">
        <f>VLOOKUP(B19,'Escalation Factors'!$C$18:$D$44,2,FALSE)</f>
        <v>1.0044808861486327</v>
      </c>
      <c r="H19" s="67">
        <f t="shared" si="11"/>
        <v>3601063.9768428486</v>
      </c>
      <c r="I19" s="66">
        <f t="shared" si="12"/>
        <v>63738.832390118419</v>
      </c>
      <c r="J19" s="67">
        <f t="shared" si="13"/>
        <v>3664802.809232967</v>
      </c>
      <c r="K19" s="79">
        <v>1</v>
      </c>
      <c r="L19" s="67">
        <f t="shared" si="14"/>
        <v>3664802.809232967</v>
      </c>
      <c r="M19" s="264">
        <v>0</v>
      </c>
      <c r="N19" s="67">
        <f t="shared" ref="N19:N27" si="16">(J19-L19)*M19</f>
        <v>0</v>
      </c>
      <c r="O19" s="67">
        <f t="shared" si="15"/>
        <v>0</v>
      </c>
      <c r="P19" s="65"/>
    </row>
    <row r="20" spans="1:16" s="14" customFormat="1" x14ac:dyDescent="0.3">
      <c r="A20" s="64"/>
      <c r="B20" s="65" t="s">
        <v>823</v>
      </c>
      <c r="C20" s="65" t="s">
        <v>468</v>
      </c>
      <c r="D20" s="63" t="s">
        <v>469</v>
      </c>
      <c r="E20" s="63" t="s">
        <v>465</v>
      </c>
      <c r="F20" s="67">
        <v>8117000</v>
      </c>
      <c r="G20" s="68">
        <f>VLOOKUP(B20,'Escalation Factors'!$C$18:$D$44,2,FALSE)</f>
        <v>1.0044808861486327</v>
      </c>
      <c r="H20" s="67">
        <f t="shared" si="11"/>
        <v>8153371.3528684517</v>
      </c>
      <c r="I20" s="66">
        <f t="shared" si="12"/>
        <v>144314.6729457716</v>
      </c>
      <c r="J20" s="67">
        <f t="shared" si="13"/>
        <v>8297686.0258142231</v>
      </c>
      <c r="K20" s="79">
        <v>0</v>
      </c>
      <c r="L20" s="67">
        <f t="shared" si="14"/>
        <v>0</v>
      </c>
      <c r="M20" s="264">
        <f>$M$4</f>
        <v>0.23407892834770871</v>
      </c>
      <c r="N20" s="67">
        <f>(J20-L20)*M20</f>
        <v>1942313.4526883515</v>
      </c>
      <c r="O20" s="67">
        <f>J20-L20-N20</f>
        <v>6355372.5731258718</v>
      </c>
      <c r="P20" s="65"/>
    </row>
    <row r="21" spans="1:16" s="14" customFormat="1" x14ac:dyDescent="0.3">
      <c r="A21" s="64"/>
      <c r="B21" s="65" t="s">
        <v>823</v>
      </c>
      <c r="C21" s="65" t="s">
        <v>729</v>
      </c>
      <c r="D21" s="63" t="s">
        <v>476</v>
      </c>
      <c r="E21" s="63" t="s">
        <v>474</v>
      </c>
      <c r="F21" s="67">
        <v>689000</v>
      </c>
      <c r="G21" s="68">
        <f>VLOOKUP(B21,'Escalation Factors'!$C$18:$D$44,2,FALSE)</f>
        <v>1.0044808861486327</v>
      </c>
      <c r="H21" s="67">
        <f t="shared" si="11"/>
        <v>692087.33055640792</v>
      </c>
      <c r="I21" s="66">
        <f t="shared" si="12"/>
        <v>12249.945750848421</v>
      </c>
      <c r="J21" s="67">
        <f t="shared" si="13"/>
        <v>704337.27630725631</v>
      </c>
      <c r="K21" s="79">
        <v>1</v>
      </c>
      <c r="L21" s="67">
        <f t="shared" si="14"/>
        <v>704337.27630725631</v>
      </c>
      <c r="M21" s="264">
        <v>0</v>
      </c>
      <c r="N21" s="67">
        <f t="shared" si="16"/>
        <v>0</v>
      </c>
      <c r="O21" s="67">
        <f t="shared" ref="O21:O27" si="17">J21-L21-N21</f>
        <v>0</v>
      </c>
      <c r="P21" s="65"/>
    </row>
    <row r="22" spans="1:16" s="14" customFormat="1" x14ac:dyDescent="0.3">
      <c r="A22" s="64"/>
      <c r="B22" s="65" t="s">
        <v>823</v>
      </c>
      <c r="C22" s="65" t="s">
        <v>477</v>
      </c>
      <c r="D22" s="63" t="s">
        <v>478</v>
      </c>
      <c r="E22" s="63" t="s">
        <v>479</v>
      </c>
      <c r="F22" s="67">
        <v>50000</v>
      </c>
      <c r="G22" s="68">
        <f>VLOOKUP(B22,'Escalation Factors'!$C$18:$D$44,2,FALSE)</f>
        <v>1.0044808861486327</v>
      </c>
      <c r="H22" s="67">
        <f t="shared" si="11"/>
        <v>50224.044307431635</v>
      </c>
      <c r="I22" s="66">
        <f t="shared" si="12"/>
        <v>888.96558424154</v>
      </c>
      <c r="J22" s="67">
        <f t="shared" si="13"/>
        <v>51113.009891673173</v>
      </c>
      <c r="K22" s="79">
        <v>0.5</v>
      </c>
      <c r="L22" s="67">
        <f t="shared" si="14"/>
        <v>25556.504945836587</v>
      </c>
      <c r="M22" s="264">
        <f t="shared" ref="M22:M27" si="18">$M$4</f>
        <v>0.23407892834770871</v>
      </c>
      <c r="N22" s="67">
        <f t="shared" si="16"/>
        <v>5982.2392900343457</v>
      </c>
      <c r="O22" s="67">
        <f t="shared" si="17"/>
        <v>19574.265655802243</v>
      </c>
      <c r="P22" s="65"/>
    </row>
    <row r="23" spans="1:16" s="14" customFormat="1" x14ac:dyDescent="0.3">
      <c r="A23" s="64"/>
      <c r="B23" s="65" t="s">
        <v>823</v>
      </c>
      <c r="C23" s="65" t="s">
        <v>480</v>
      </c>
      <c r="D23" s="63" t="s">
        <v>481</v>
      </c>
      <c r="E23" s="63" t="s">
        <v>479</v>
      </c>
      <c r="F23" s="67">
        <v>50000</v>
      </c>
      <c r="G23" s="68">
        <f>VLOOKUP(B23,'Escalation Factors'!$C$18:$D$44,2,FALSE)</f>
        <v>1.0044808861486327</v>
      </c>
      <c r="H23" s="67">
        <f t="shared" si="11"/>
        <v>50224.044307431635</v>
      </c>
      <c r="I23" s="66">
        <f t="shared" si="12"/>
        <v>888.96558424154</v>
      </c>
      <c r="J23" s="67">
        <f t="shared" si="13"/>
        <v>51113.009891673173</v>
      </c>
      <c r="K23" s="79">
        <v>0.5</v>
      </c>
      <c r="L23" s="67">
        <f t="shared" si="14"/>
        <v>25556.504945836587</v>
      </c>
      <c r="M23" s="264">
        <f t="shared" si="18"/>
        <v>0.23407892834770871</v>
      </c>
      <c r="N23" s="67">
        <f t="shared" si="16"/>
        <v>5982.2392900343457</v>
      </c>
      <c r="O23" s="67">
        <f t="shared" si="17"/>
        <v>19574.265655802243</v>
      </c>
      <c r="P23" s="65"/>
    </row>
    <row r="24" spans="1:16" s="14" customFormat="1" x14ac:dyDescent="0.3">
      <c r="A24" s="64"/>
      <c r="B24" s="65" t="s">
        <v>823</v>
      </c>
      <c r="C24" s="65" t="s">
        <v>482</v>
      </c>
      <c r="D24" s="63" t="s">
        <v>483</v>
      </c>
      <c r="E24" s="63" t="s">
        <v>479</v>
      </c>
      <c r="F24" s="67">
        <v>100000</v>
      </c>
      <c r="G24" s="68">
        <f>VLOOKUP(B24,'Escalation Factors'!$C$18:$D$44,2,FALSE)</f>
        <v>1.0044808861486327</v>
      </c>
      <c r="H24" s="67">
        <f t="shared" si="11"/>
        <v>100448.08861486327</v>
      </c>
      <c r="I24" s="66">
        <f t="shared" si="12"/>
        <v>1777.93116848308</v>
      </c>
      <c r="J24" s="67">
        <f t="shared" si="13"/>
        <v>102226.01978334635</v>
      </c>
      <c r="K24" s="79">
        <v>0.5</v>
      </c>
      <c r="L24" s="67">
        <f t="shared" si="14"/>
        <v>51113.009891673173</v>
      </c>
      <c r="M24" s="264">
        <f t="shared" si="18"/>
        <v>0.23407892834770871</v>
      </c>
      <c r="N24" s="67">
        <f t="shared" si="16"/>
        <v>11964.478580068691</v>
      </c>
      <c r="O24" s="67">
        <f t="shared" si="17"/>
        <v>39148.531311604485</v>
      </c>
      <c r="P24" s="65"/>
    </row>
    <row r="25" spans="1:16" s="14" customFormat="1" x14ac:dyDescent="0.3">
      <c r="A25" s="64"/>
      <c r="B25" s="65" t="s">
        <v>823</v>
      </c>
      <c r="C25" s="65" t="s">
        <v>484</v>
      </c>
      <c r="D25" s="63" t="s">
        <v>485</v>
      </c>
      <c r="E25" s="63" t="s">
        <v>479</v>
      </c>
      <c r="F25" s="67">
        <v>200000</v>
      </c>
      <c r="G25" s="68">
        <f>VLOOKUP(B25,'Escalation Factors'!$C$18:$D$44,2,FALSE)</f>
        <v>1.0044808861486327</v>
      </c>
      <c r="H25" s="67">
        <f t="shared" si="11"/>
        <v>200896.17722972654</v>
      </c>
      <c r="I25" s="66">
        <f t="shared" si="12"/>
        <v>3555.86233696616</v>
      </c>
      <c r="J25" s="67">
        <f t="shared" si="13"/>
        <v>204452.03956669269</v>
      </c>
      <c r="K25" s="79">
        <v>0.5</v>
      </c>
      <c r="L25" s="67">
        <f t="shared" si="14"/>
        <v>102226.01978334635</v>
      </c>
      <c r="M25" s="264">
        <f t="shared" si="18"/>
        <v>0.23407892834770871</v>
      </c>
      <c r="N25" s="67">
        <f t="shared" si="16"/>
        <v>23928.957160137383</v>
      </c>
      <c r="O25" s="67">
        <f t="shared" si="17"/>
        <v>78297.062623208971</v>
      </c>
      <c r="P25" s="65"/>
    </row>
    <row r="26" spans="1:16" s="14" customFormat="1" x14ac:dyDescent="0.3">
      <c r="A26" s="64"/>
      <c r="B26" s="65" t="s">
        <v>823</v>
      </c>
      <c r="C26" s="65" t="s">
        <v>486</v>
      </c>
      <c r="D26" s="63" t="s">
        <v>487</v>
      </c>
      <c r="E26" s="63" t="s">
        <v>479</v>
      </c>
      <c r="F26" s="67">
        <v>50000</v>
      </c>
      <c r="G26" s="68">
        <f>VLOOKUP(B26,'Escalation Factors'!$C$18:$D$44,2,FALSE)</f>
        <v>1.0044808861486327</v>
      </c>
      <c r="H26" s="67">
        <f t="shared" si="11"/>
        <v>50224.044307431635</v>
      </c>
      <c r="I26" s="66">
        <f t="shared" si="12"/>
        <v>888.96558424154</v>
      </c>
      <c r="J26" s="67">
        <f t="shared" si="13"/>
        <v>51113.009891673173</v>
      </c>
      <c r="K26" s="79">
        <v>0.5</v>
      </c>
      <c r="L26" s="67">
        <f t="shared" si="14"/>
        <v>25556.504945836587</v>
      </c>
      <c r="M26" s="264">
        <f t="shared" si="18"/>
        <v>0.23407892834770871</v>
      </c>
      <c r="N26" s="67">
        <f t="shared" si="16"/>
        <v>5982.2392900343457</v>
      </c>
      <c r="O26" s="67">
        <f t="shared" si="17"/>
        <v>19574.265655802243</v>
      </c>
      <c r="P26" s="65"/>
    </row>
    <row r="27" spans="1:16" s="14" customFormat="1" x14ac:dyDescent="0.3">
      <c r="A27" s="64"/>
      <c r="B27" s="65" t="s">
        <v>823</v>
      </c>
      <c r="C27" s="65" t="s">
        <v>488</v>
      </c>
      <c r="D27" s="63" t="s">
        <v>489</v>
      </c>
      <c r="E27" s="63" t="s">
        <v>479</v>
      </c>
      <c r="F27" s="67">
        <v>50000</v>
      </c>
      <c r="G27" s="68">
        <f>VLOOKUP(B27,'Escalation Factors'!$C$18:$D$44,2,FALSE)</f>
        <v>1.0044808861486327</v>
      </c>
      <c r="H27" s="67">
        <f t="shared" si="11"/>
        <v>50224.044307431635</v>
      </c>
      <c r="I27" s="66">
        <f t="shared" si="12"/>
        <v>888.96558424154</v>
      </c>
      <c r="J27" s="67">
        <f t="shared" si="13"/>
        <v>51113.009891673173</v>
      </c>
      <c r="K27" s="79">
        <v>0.5</v>
      </c>
      <c r="L27" s="67">
        <f t="shared" si="14"/>
        <v>25556.504945836587</v>
      </c>
      <c r="M27" s="264">
        <f t="shared" si="18"/>
        <v>0.23407892834770871</v>
      </c>
      <c r="N27" s="67">
        <f t="shared" si="16"/>
        <v>5982.2392900343457</v>
      </c>
      <c r="O27" s="67">
        <f t="shared" si="17"/>
        <v>19574.265655802243</v>
      </c>
      <c r="P27" s="65"/>
    </row>
    <row r="28" spans="1:16" s="14" customFormat="1" x14ac:dyDescent="0.3">
      <c r="A28" s="64"/>
      <c r="B28" s="69" t="s">
        <v>823</v>
      </c>
      <c r="C28" s="69"/>
      <c r="D28" s="70"/>
      <c r="E28" s="140" t="s">
        <v>13</v>
      </c>
      <c r="F28" s="71">
        <f>SUBTOTAL(9,F18:F27)</f>
        <v>13286000</v>
      </c>
      <c r="G28" s="71"/>
      <c r="H28" s="71">
        <f>SUBTOTAL(9,H18:H27)</f>
        <v>13345533.053370731</v>
      </c>
      <c r="I28" s="71">
        <f>SUBTOTAL(9,I18:I27)</f>
        <v>236215.93504466204</v>
      </c>
      <c r="J28" s="71">
        <f>SUBTOTAL(9,J18:J27)</f>
        <v>13581748.988415398</v>
      </c>
      <c r="K28" s="71"/>
      <c r="L28" s="71">
        <f>SUBTOTAL(9,L18:L27)</f>
        <v>5028497.9131428078</v>
      </c>
      <c r="M28" s="265"/>
      <c r="N28" s="71">
        <f>SUBTOTAL(9,N18:N27)</f>
        <v>2002135.8455886953</v>
      </c>
      <c r="O28" s="71">
        <f>SUBTOTAL(9,O18:O27)</f>
        <v>6551115.2296838956</v>
      </c>
      <c r="P28" s="69" t="s">
        <v>823</v>
      </c>
    </row>
    <row r="29" spans="1:16" s="14" customFormat="1" x14ac:dyDescent="0.3">
      <c r="A29" s="64"/>
      <c r="B29" s="65" t="s">
        <v>309</v>
      </c>
      <c r="C29" s="65" t="s">
        <v>490</v>
      </c>
      <c r="D29" s="63" t="s">
        <v>491</v>
      </c>
      <c r="E29" s="63" t="s">
        <v>492</v>
      </c>
      <c r="F29" s="67">
        <v>3841000</v>
      </c>
      <c r="G29" s="68">
        <f>VLOOKUP(B29,'Escalation Factors'!$C$18:$D$44,2,FALSE)</f>
        <v>1.0932112214252097</v>
      </c>
      <c r="H29" s="67">
        <f>F29*G29</f>
        <v>4199024.3014942305</v>
      </c>
      <c r="I29" s="66">
        <f>H29*$I$4</f>
        <v>74322.730136447877</v>
      </c>
      <c r="J29" s="67">
        <f>H29+I29</f>
        <v>4273347.0316306781</v>
      </c>
      <c r="K29" s="79">
        <v>0.25</v>
      </c>
      <c r="L29" s="67">
        <f t="shared" ref="L29:L45" si="19">J29*K29</f>
        <v>1068336.7579076695</v>
      </c>
      <c r="M29" s="264">
        <f>$M$4</f>
        <v>0.23407892834770871</v>
      </c>
      <c r="N29" s="67">
        <f>(J29-L29)*M29</f>
        <v>750225.37021647848</v>
      </c>
      <c r="O29" s="67">
        <f>J29-L29-N29</f>
        <v>2454784.90350653</v>
      </c>
      <c r="P29" s="65"/>
    </row>
    <row r="30" spans="1:16" s="14" customFormat="1" x14ac:dyDescent="0.3">
      <c r="A30" s="64"/>
      <c r="B30" s="65" t="s">
        <v>309</v>
      </c>
      <c r="C30" s="65" t="s">
        <v>493</v>
      </c>
      <c r="D30" s="63" t="s">
        <v>494</v>
      </c>
      <c r="E30" s="63" t="s">
        <v>492</v>
      </c>
      <c r="F30" s="67">
        <v>2650000</v>
      </c>
      <c r="G30" s="68">
        <f>VLOOKUP(B30,'Escalation Factors'!$C$18:$D$44,2,FALSE)</f>
        <v>1.0932112214252097</v>
      </c>
      <c r="H30" s="67">
        <f t="shared" ref="H30:H45" si="20">F30*G30</f>
        <v>2897009.7367768055</v>
      </c>
      <c r="I30" s="66">
        <f t="shared" ref="I30:I45" si="21">H30*$I$4</f>
        <v>51277.07234094946</v>
      </c>
      <c r="J30" s="67">
        <f t="shared" ref="J30:J45" si="22">H30+I30</f>
        <v>2948286.8091177549</v>
      </c>
      <c r="K30" s="79">
        <v>0.25</v>
      </c>
      <c r="L30" s="67">
        <f t="shared" si="19"/>
        <v>737071.70227943873</v>
      </c>
      <c r="M30" s="264">
        <f>$M$4</f>
        <v>0.23407892834770871</v>
      </c>
      <c r="N30" s="67">
        <f t="shared" ref="N30:N45" si="23">(J30-L30)*M30</f>
        <v>517598.8625549773</v>
      </c>
      <c r="O30" s="67">
        <f t="shared" ref="O30:O45" si="24">J30-L30-N30</f>
        <v>1693616.244283339</v>
      </c>
      <c r="P30" s="65"/>
    </row>
    <row r="31" spans="1:16" s="14" customFormat="1" x14ac:dyDescent="0.3">
      <c r="A31" s="64"/>
      <c r="B31" s="65" t="s">
        <v>309</v>
      </c>
      <c r="C31" s="65" t="s">
        <v>495</v>
      </c>
      <c r="D31" s="63" t="s">
        <v>496</v>
      </c>
      <c r="E31" s="63" t="s">
        <v>492</v>
      </c>
      <c r="F31" s="67">
        <v>4319000</v>
      </c>
      <c r="G31" s="68">
        <f>VLOOKUP(B31,'Escalation Factors'!$C$18:$D$44,2,FALSE)</f>
        <v>1.0932112214252097</v>
      </c>
      <c r="H31" s="67">
        <f t="shared" si="20"/>
        <v>4721579.2653354807</v>
      </c>
      <c r="I31" s="66">
        <f t="shared" si="21"/>
        <v>83571.952996438005</v>
      </c>
      <c r="J31" s="67">
        <f t="shared" si="22"/>
        <v>4805151.2183319191</v>
      </c>
      <c r="K31" s="79">
        <v>0.25</v>
      </c>
      <c r="L31" s="67">
        <f t="shared" si="19"/>
        <v>1201287.8045829798</v>
      </c>
      <c r="M31" s="264">
        <f>$M$4</f>
        <v>0.23407892834770871</v>
      </c>
      <c r="N31" s="67">
        <f t="shared" si="23"/>
        <v>843588.48580186698</v>
      </c>
      <c r="O31" s="67">
        <f t="shared" si="24"/>
        <v>2760274.9279470723</v>
      </c>
      <c r="P31" s="65"/>
    </row>
    <row r="32" spans="1:16" s="14" customFormat="1" x14ac:dyDescent="0.3">
      <c r="A32" s="64"/>
      <c r="B32" s="65" t="s">
        <v>309</v>
      </c>
      <c r="C32" s="65" t="s">
        <v>497</v>
      </c>
      <c r="D32" s="63" t="s">
        <v>498</v>
      </c>
      <c r="E32" s="63" t="s">
        <v>465</v>
      </c>
      <c r="F32" s="67">
        <v>2249000</v>
      </c>
      <c r="G32" s="68">
        <f>VLOOKUP(B32,'Escalation Factors'!$C$18:$D$44,2,FALSE)</f>
        <v>1.0932112214252097</v>
      </c>
      <c r="H32" s="67">
        <f t="shared" si="20"/>
        <v>2458632.0369852963</v>
      </c>
      <c r="I32" s="66">
        <f t="shared" si="21"/>
        <v>43517.787054639746</v>
      </c>
      <c r="J32" s="67">
        <f t="shared" si="22"/>
        <v>2502149.8240399361</v>
      </c>
      <c r="K32" s="79">
        <v>1</v>
      </c>
      <c r="L32" s="67">
        <f t="shared" si="19"/>
        <v>2502149.8240399361</v>
      </c>
      <c r="M32" s="264">
        <v>0</v>
      </c>
      <c r="N32" s="67">
        <f t="shared" si="23"/>
        <v>0</v>
      </c>
      <c r="O32" s="67">
        <f t="shared" si="24"/>
        <v>0</v>
      </c>
      <c r="P32" s="65"/>
    </row>
    <row r="33" spans="1:16" s="14" customFormat="1" x14ac:dyDescent="0.3">
      <c r="A33" s="64"/>
      <c r="B33" s="65" t="s">
        <v>309</v>
      </c>
      <c r="C33" s="65" t="s">
        <v>499</v>
      </c>
      <c r="D33" s="63" t="s">
        <v>500</v>
      </c>
      <c r="E33" s="63" t="s">
        <v>465</v>
      </c>
      <c r="F33" s="67">
        <v>236000</v>
      </c>
      <c r="G33" s="68">
        <f>VLOOKUP(B33,'Escalation Factors'!$C$18:$D$44,2,FALSE)</f>
        <v>1.0932112214252097</v>
      </c>
      <c r="H33" s="67">
        <f t="shared" ref="H33:H37" si="25">F33*G33</f>
        <v>257997.84825634948</v>
      </c>
      <c r="I33" s="66">
        <f t="shared" ref="I33:I37" si="26">H33*$I$4</f>
        <v>4566.5619141373854</v>
      </c>
      <c r="J33" s="67">
        <f t="shared" ref="J33:J37" si="27">H33+I33</f>
        <v>262564.41017048684</v>
      </c>
      <c r="K33" s="79">
        <v>1</v>
      </c>
      <c r="L33" s="67">
        <f t="shared" si="19"/>
        <v>262564.41017048684</v>
      </c>
      <c r="M33" s="264">
        <v>0</v>
      </c>
      <c r="N33" s="67">
        <f t="shared" si="23"/>
        <v>0</v>
      </c>
      <c r="O33" s="67">
        <f t="shared" si="24"/>
        <v>0</v>
      </c>
      <c r="P33" s="65"/>
    </row>
    <row r="34" spans="1:16" s="14" customFormat="1" x14ac:dyDescent="0.3">
      <c r="A34" s="64"/>
      <c r="B34" s="65" t="s">
        <v>309</v>
      </c>
      <c r="C34" s="65" t="s">
        <v>501</v>
      </c>
      <c r="D34" s="63" t="s">
        <v>502</v>
      </c>
      <c r="E34" s="63" t="s">
        <v>465</v>
      </c>
      <c r="F34" s="67">
        <v>277000</v>
      </c>
      <c r="G34" s="68">
        <f>VLOOKUP(B34,'Escalation Factors'!$C$18:$D$44,2,FALSE)</f>
        <v>1.0932112214252097</v>
      </c>
      <c r="H34" s="67">
        <f t="shared" si="25"/>
        <v>302819.50833478308</v>
      </c>
      <c r="I34" s="66">
        <f t="shared" si="26"/>
        <v>5359.9052975256609</v>
      </c>
      <c r="J34" s="67">
        <f t="shared" si="27"/>
        <v>308179.41363230872</v>
      </c>
      <c r="K34" s="79">
        <v>1</v>
      </c>
      <c r="L34" s="67">
        <f t="shared" si="19"/>
        <v>308179.41363230872</v>
      </c>
      <c r="M34" s="264">
        <v>0</v>
      </c>
      <c r="N34" s="67">
        <f t="shared" si="23"/>
        <v>0</v>
      </c>
      <c r="O34" s="67">
        <f t="shared" si="24"/>
        <v>0</v>
      </c>
      <c r="P34" s="65"/>
    </row>
    <row r="35" spans="1:16" s="14" customFormat="1" x14ac:dyDescent="0.3">
      <c r="A35" s="64"/>
      <c r="B35" s="65" t="s">
        <v>309</v>
      </c>
      <c r="C35" s="65" t="s">
        <v>503</v>
      </c>
      <c r="D35" s="63" t="s">
        <v>772</v>
      </c>
      <c r="E35" s="63" t="s">
        <v>465</v>
      </c>
      <c r="F35" s="67">
        <v>2272000</v>
      </c>
      <c r="G35" s="68">
        <f>VLOOKUP(B35,'Escalation Factors'!$C$18:$D$44,2,FALSE)</f>
        <v>1.0932112214252097</v>
      </c>
      <c r="H35" s="67">
        <f t="shared" si="25"/>
        <v>2483775.8950780765</v>
      </c>
      <c r="I35" s="66">
        <f t="shared" si="26"/>
        <v>43962.833342881953</v>
      </c>
      <c r="J35" s="67">
        <f t="shared" si="27"/>
        <v>2527738.7284209584</v>
      </c>
      <c r="K35" s="79">
        <v>1</v>
      </c>
      <c r="L35" s="67">
        <f t="shared" si="19"/>
        <v>2527738.7284209584</v>
      </c>
      <c r="M35" s="264">
        <v>0</v>
      </c>
      <c r="N35" s="67">
        <f t="shared" si="23"/>
        <v>0</v>
      </c>
      <c r="O35" s="67">
        <f t="shared" si="24"/>
        <v>0</v>
      </c>
      <c r="P35" s="65"/>
    </row>
    <row r="36" spans="1:16" s="14" customFormat="1" x14ac:dyDescent="0.3">
      <c r="A36" s="64"/>
      <c r="B36" s="65" t="s">
        <v>309</v>
      </c>
      <c r="C36" s="65" t="s">
        <v>505</v>
      </c>
      <c r="D36" s="63" t="s">
        <v>506</v>
      </c>
      <c r="E36" s="63" t="s">
        <v>465</v>
      </c>
      <c r="F36" s="67">
        <v>5069000</v>
      </c>
      <c r="G36" s="68">
        <f>VLOOKUP(B36,'Escalation Factors'!$C$18:$D$44,2,FALSE)</f>
        <v>1.0932112214252097</v>
      </c>
      <c r="H36" s="67">
        <f t="shared" si="25"/>
        <v>5541487.6814043876</v>
      </c>
      <c r="I36" s="66">
        <f t="shared" si="26"/>
        <v>98084.331960857657</v>
      </c>
      <c r="J36" s="67">
        <f t="shared" si="27"/>
        <v>5639572.0133652454</v>
      </c>
      <c r="K36" s="79">
        <v>1</v>
      </c>
      <c r="L36" s="67">
        <f t="shared" si="19"/>
        <v>5639572.0133652454</v>
      </c>
      <c r="M36" s="264">
        <v>0</v>
      </c>
      <c r="N36" s="67">
        <f t="shared" si="23"/>
        <v>0</v>
      </c>
      <c r="O36" s="67">
        <f t="shared" si="24"/>
        <v>0</v>
      </c>
      <c r="P36" s="65"/>
    </row>
    <row r="37" spans="1:16" s="14" customFormat="1" x14ac:dyDescent="0.3">
      <c r="A37" s="64"/>
      <c r="B37" s="65" t="s">
        <v>309</v>
      </c>
      <c r="C37" s="65" t="s">
        <v>507</v>
      </c>
      <c r="D37" s="63" t="s">
        <v>508</v>
      </c>
      <c r="E37" s="63" t="s">
        <v>509</v>
      </c>
      <c r="F37" s="67">
        <v>3072000</v>
      </c>
      <c r="G37" s="68">
        <f>VLOOKUP(B37,'Escalation Factors'!$C$18:$D$44,2,FALSE)</f>
        <v>1.0932112214252097</v>
      </c>
      <c r="H37" s="67">
        <f t="shared" si="25"/>
        <v>3358344.8722182442</v>
      </c>
      <c r="I37" s="66">
        <f t="shared" si="26"/>
        <v>59442.704238262922</v>
      </c>
      <c r="J37" s="67">
        <f t="shared" si="27"/>
        <v>3417787.5764565072</v>
      </c>
      <c r="K37" s="79">
        <v>0.95</v>
      </c>
      <c r="L37" s="67">
        <f t="shared" si="19"/>
        <v>3246898.1976336818</v>
      </c>
      <c r="M37" s="264">
        <f t="shared" ref="M37:M40" si="28">$M$4</f>
        <v>0.23407892834770871</v>
      </c>
      <c r="N37" s="67">
        <f t="shared" si="23"/>
        <v>40001.602660852594</v>
      </c>
      <c r="O37" s="67">
        <f t="shared" si="24"/>
        <v>130887.77616197278</v>
      </c>
      <c r="P37" s="65"/>
    </row>
    <row r="38" spans="1:16" s="14" customFormat="1" x14ac:dyDescent="0.3">
      <c r="A38" s="64"/>
      <c r="B38" s="65" t="s">
        <v>309</v>
      </c>
      <c r="C38" s="65" t="s">
        <v>510</v>
      </c>
      <c r="D38" s="63" t="s">
        <v>764</v>
      </c>
      <c r="E38" s="63" t="s">
        <v>509</v>
      </c>
      <c r="F38" s="67">
        <v>3429000</v>
      </c>
      <c r="G38" s="68">
        <f>VLOOKUP(B38,'Escalation Factors'!$C$18:$D$44,2,FALSE)</f>
        <v>1.0932112214252097</v>
      </c>
      <c r="H38" s="67">
        <f t="shared" si="20"/>
        <v>3748621.2782670441</v>
      </c>
      <c r="I38" s="66">
        <f t="shared" si="21"/>
        <v>66350.596625326682</v>
      </c>
      <c r="J38" s="67">
        <f t="shared" si="22"/>
        <v>3814971.8748923708</v>
      </c>
      <c r="K38" s="79">
        <v>0.95</v>
      </c>
      <c r="L38" s="67">
        <f t="shared" si="19"/>
        <v>3624223.281147752</v>
      </c>
      <c r="M38" s="264">
        <f t="shared" si="28"/>
        <v>0.23407892834770871</v>
      </c>
      <c r="N38" s="67">
        <f t="shared" si="23"/>
        <v>44650.226407572824</v>
      </c>
      <c r="O38" s="67">
        <f t="shared" si="24"/>
        <v>146098.36733704599</v>
      </c>
      <c r="P38" s="65"/>
    </row>
    <row r="39" spans="1:16" s="14" customFormat="1" x14ac:dyDescent="0.3">
      <c r="A39" s="64"/>
      <c r="B39" s="65" t="s">
        <v>309</v>
      </c>
      <c r="C39" s="65" t="s">
        <v>512</v>
      </c>
      <c r="D39" s="63" t="s">
        <v>773</v>
      </c>
      <c r="E39" s="63" t="s">
        <v>509</v>
      </c>
      <c r="F39" s="67">
        <v>5801000</v>
      </c>
      <c r="G39" s="68">
        <f>VLOOKUP(B39,'Escalation Factors'!$C$18:$D$44,2,FALSE)</f>
        <v>1.0932112214252097</v>
      </c>
      <c r="H39" s="67">
        <f t="shared" si="20"/>
        <v>6341718.2954876414</v>
      </c>
      <c r="I39" s="66">
        <f t="shared" si="21"/>
        <v>112248.41383013125</v>
      </c>
      <c r="J39" s="67">
        <f t="shared" si="22"/>
        <v>6453966.7093177726</v>
      </c>
      <c r="K39" s="79">
        <v>0.95</v>
      </c>
      <c r="L39" s="67">
        <f t="shared" si="19"/>
        <v>6131268.3738518842</v>
      </c>
      <c r="M39" s="264">
        <f t="shared" si="28"/>
        <v>0.23407892834770871</v>
      </c>
      <c r="N39" s="67">
        <f t="shared" si="23"/>
        <v>75536.880545444583</v>
      </c>
      <c r="O39" s="67">
        <f t="shared" si="24"/>
        <v>247161.45492044391</v>
      </c>
      <c r="P39" s="65"/>
    </row>
    <row r="40" spans="1:16" s="14" customFormat="1" x14ac:dyDescent="0.3">
      <c r="A40" s="64"/>
      <c r="B40" s="65" t="s">
        <v>309</v>
      </c>
      <c r="C40" s="65" t="s">
        <v>514</v>
      </c>
      <c r="D40" s="63" t="s">
        <v>515</v>
      </c>
      <c r="E40" s="63" t="s">
        <v>509</v>
      </c>
      <c r="F40" s="67">
        <v>6063000</v>
      </c>
      <c r="G40" s="68">
        <f>VLOOKUP(B40,'Escalation Factors'!$C$18:$D$44,2,FALSE)</f>
        <v>1.0932112214252097</v>
      </c>
      <c r="H40" s="67">
        <f t="shared" si="20"/>
        <v>6628139.6355010457</v>
      </c>
      <c r="I40" s="66">
        <f t="shared" si="21"/>
        <v>117318.07154836851</v>
      </c>
      <c r="J40" s="67">
        <f t="shared" si="22"/>
        <v>6745457.7070494145</v>
      </c>
      <c r="K40" s="79">
        <v>0.95</v>
      </c>
      <c r="L40" s="67">
        <f t="shared" si="19"/>
        <v>6408184.8216969436</v>
      </c>
      <c r="M40" s="264">
        <f t="shared" si="28"/>
        <v>0.23407892834770871</v>
      </c>
      <c r="N40" s="67">
        <f t="shared" si="23"/>
        <v>78948.475564046021</v>
      </c>
      <c r="O40" s="67">
        <f t="shared" si="24"/>
        <v>258324.40978842491</v>
      </c>
      <c r="P40" s="65"/>
    </row>
    <row r="41" spans="1:16" s="14" customFormat="1" x14ac:dyDescent="0.3">
      <c r="A41" s="64"/>
      <c r="B41" s="65" t="s">
        <v>309</v>
      </c>
      <c r="C41" s="65" t="s">
        <v>516</v>
      </c>
      <c r="D41" s="63" t="s">
        <v>517</v>
      </c>
      <c r="E41" s="63" t="s">
        <v>509</v>
      </c>
      <c r="F41" s="67">
        <v>1649000</v>
      </c>
      <c r="G41" s="68">
        <f>VLOOKUP(B41,'Escalation Factors'!$C$18:$D$44,2,FALSE)</f>
        <v>1.0932112214252097</v>
      </c>
      <c r="H41" s="67">
        <f t="shared" si="20"/>
        <v>1802705.3041301707</v>
      </c>
      <c r="I41" s="66">
        <f t="shared" si="21"/>
        <v>31907.883883104023</v>
      </c>
      <c r="J41" s="67">
        <f t="shared" si="22"/>
        <v>1834613.1880132747</v>
      </c>
      <c r="K41" s="79">
        <v>1</v>
      </c>
      <c r="L41" s="67">
        <f t="shared" si="19"/>
        <v>1834613.1880132747</v>
      </c>
      <c r="M41" s="264">
        <v>0</v>
      </c>
      <c r="N41" s="67">
        <f t="shared" si="23"/>
        <v>0</v>
      </c>
      <c r="O41" s="67">
        <f t="shared" si="24"/>
        <v>0</v>
      </c>
      <c r="P41" s="65"/>
    </row>
    <row r="42" spans="1:16" s="14" customFormat="1" x14ac:dyDescent="0.3">
      <c r="A42" s="64"/>
      <c r="B42" s="65" t="s">
        <v>309</v>
      </c>
      <c r="C42" s="65" t="s">
        <v>518</v>
      </c>
      <c r="D42" s="63" t="s">
        <v>519</v>
      </c>
      <c r="E42" s="63" t="s">
        <v>509</v>
      </c>
      <c r="F42" s="67">
        <v>420000</v>
      </c>
      <c r="G42" s="68">
        <f>VLOOKUP(B42,'Escalation Factors'!$C$18:$D$44,2,FALSE)</f>
        <v>1.0932112214252097</v>
      </c>
      <c r="H42" s="67">
        <f t="shared" si="20"/>
        <v>459148.71299858805</v>
      </c>
      <c r="I42" s="66">
        <f t="shared" si="21"/>
        <v>8126.9322200750084</v>
      </c>
      <c r="J42" s="67">
        <f t="shared" si="22"/>
        <v>467275.64521866303</v>
      </c>
      <c r="K42" s="79">
        <v>1</v>
      </c>
      <c r="L42" s="67">
        <f t="shared" si="19"/>
        <v>467275.64521866303</v>
      </c>
      <c r="M42" s="264">
        <v>0</v>
      </c>
      <c r="N42" s="67">
        <f t="shared" si="23"/>
        <v>0</v>
      </c>
      <c r="O42" s="67">
        <f t="shared" si="24"/>
        <v>0</v>
      </c>
      <c r="P42" s="65"/>
    </row>
    <row r="43" spans="1:16" s="14" customFormat="1" x14ac:dyDescent="0.3">
      <c r="A43" s="64"/>
      <c r="B43" s="65" t="s">
        <v>309</v>
      </c>
      <c r="C43" s="65" t="s">
        <v>520</v>
      </c>
      <c r="D43" s="63" t="s">
        <v>521</v>
      </c>
      <c r="E43" s="63" t="s">
        <v>474</v>
      </c>
      <c r="F43" s="67">
        <v>4752000</v>
      </c>
      <c r="G43" s="68">
        <f>VLOOKUP(B43,'Escalation Factors'!$C$18:$D$44,2,FALSE)</f>
        <v>1.0932112214252097</v>
      </c>
      <c r="H43" s="67">
        <f t="shared" si="20"/>
        <v>5194939.7242125962</v>
      </c>
      <c r="I43" s="66">
        <f t="shared" si="21"/>
        <v>91950.433118562956</v>
      </c>
      <c r="J43" s="67">
        <f t="shared" si="22"/>
        <v>5286890.1573311593</v>
      </c>
      <c r="K43" s="79">
        <v>0.25</v>
      </c>
      <c r="L43" s="67">
        <f t="shared" si="19"/>
        <v>1321722.5393327898</v>
      </c>
      <c r="M43" s="264">
        <f>$M$4</f>
        <v>0.23407892834770871</v>
      </c>
      <c r="N43" s="67">
        <f t="shared" si="23"/>
        <v>928162.18674009515</v>
      </c>
      <c r="O43" s="67">
        <f t="shared" si="24"/>
        <v>3037005.4312582742</v>
      </c>
      <c r="P43" s="65"/>
    </row>
    <row r="44" spans="1:16" s="14" customFormat="1" x14ac:dyDescent="0.3">
      <c r="A44" s="64"/>
      <c r="B44" s="65" t="s">
        <v>309</v>
      </c>
      <c r="C44" s="65" t="s">
        <v>522</v>
      </c>
      <c r="D44" s="63" t="s">
        <v>523</v>
      </c>
      <c r="E44" s="63" t="s">
        <v>479</v>
      </c>
      <c r="F44" s="67">
        <v>50000</v>
      </c>
      <c r="G44" s="68">
        <f>VLOOKUP(B44,'Escalation Factors'!$C$18:$D$44,2,FALSE)</f>
        <v>1.0932112214252097</v>
      </c>
      <c r="H44" s="67">
        <f t="shared" si="20"/>
        <v>54660.561071260483</v>
      </c>
      <c r="I44" s="66">
        <f t="shared" si="21"/>
        <v>967.49193096131057</v>
      </c>
      <c r="J44" s="67">
        <f t="shared" si="22"/>
        <v>55628.053002221794</v>
      </c>
      <c r="K44" s="79">
        <v>0.5</v>
      </c>
      <c r="L44" s="67">
        <f t="shared" si="19"/>
        <v>27814.026501110897</v>
      </c>
      <c r="M44" s="264">
        <f>$M$4</f>
        <v>0.23407892834770871</v>
      </c>
      <c r="N44" s="67">
        <f t="shared" si="23"/>
        <v>6510.6775164148094</v>
      </c>
      <c r="O44" s="67">
        <f t="shared" si="24"/>
        <v>21303.348984696087</v>
      </c>
      <c r="P44" s="65"/>
    </row>
    <row r="45" spans="1:16" s="14" customFormat="1" x14ac:dyDescent="0.3">
      <c r="A45" s="64"/>
      <c r="B45" s="65" t="s">
        <v>309</v>
      </c>
      <c r="C45" s="65" t="s">
        <v>524</v>
      </c>
      <c r="D45" s="63" t="s">
        <v>525</v>
      </c>
      <c r="E45" s="63" t="s">
        <v>479</v>
      </c>
      <c r="F45" s="67">
        <v>50000</v>
      </c>
      <c r="G45" s="68">
        <f>VLOOKUP(B45,'Escalation Factors'!$C$18:$D$44,2,FALSE)</f>
        <v>1.0932112214252097</v>
      </c>
      <c r="H45" s="67">
        <f t="shared" si="20"/>
        <v>54660.561071260483</v>
      </c>
      <c r="I45" s="66">
        <f t="shared" si="21"/>
        <v>967.49193096131057</v>
      </c>
      <c r="J45" s="67">
        <f t="shared" si="22"/>
        <v>55628.053002221794</v>
      </c>
      <c r="K45" s="79">
        <v>0.5</v>
      </c>
      <c r="L45" s="67">
        <f t="shared" si="19"/>
        <v>27814.026501110897</v>
      </c>
      <c r="M45" s="264">
        <f>$M$4</f>
        <v>0.23407892834770871</v>
      </c>
      <c r="N45" s="67">
        <f t="shared" si="23"/>
        <v>6510.6775164148094</v>
      </c>
      <c r="O45" s="67">
        <f t="shared" si="24"/>
        <v>21303.348984696087</v>
      </c>
      <c r="P45" s="65"/>
    </row>
    <row r="46" spans="1:16" s="14" customFormat="1" x14ac:dyDescent="0.3">
      <c r="A46" s="64"/>
      <c r="B46" s="69" t="s">
        <v>309</v>
      </c>
      <c r="C46" s="69"/>
      <c r="D46" s="70"/>
      <c r="E46" s="140" t="s">
        <v>13</v>
      </c>
      <c r="F46" s="71">
        <f>SUBTOTAL(9,F29:F45)</f>
        <v>46199000</v>
      </c>
      <c r="G46" s="71"/>
      <c r="H46" s="71">
        <f>SUBTOTAL(9,H29:H45)</f>
        <v>50505265.218623273</v>
      </c>
      <c r="I46" s="71">
        <f>SUBTOTAL(9,I29:I45)</f>
        <v>893943.1943696317</v>
      </c>
      <c r="J46" s="71">
        <f>SUBTOTAL(9,J29:J45)</f>
        <v>51399208.412992902</v>
      </c>
      <c r="K46" s="71"/>
      <c r="L46" s="71">
        <f>SUBTOTAL(9,L29:L45)</f>
        <v>37336714.754296243</v>
      </c>
      <c r="M46" s="265"/>
      <c r="N46" s="71">
        <f>SUBTOTAL(9,N29:N45)</f>
        <v>3291733.4455241631</v>
      </c>
      <c r="O46" s="71">
        <f>SUBTOTAL(9,O29:O45)</f>
        <v>10770760.213172495</v>
      </c>
      <c r="P46" s="69" t="s">
        <v>309</v>
      </c>
    </row>
    <row r="47" spans="1:16" s="14" customFormat="1" x14ac:dyDescent="0.3">
      <c r="A47" s="64"/>
      <c r="B47" s="72" t="s">
        <v>310</v>
      </c>
      <c r="C47" s="72" t="s">
        <v>526</v>
      </c>
      <c r="D47" s="63" t="s">
        <v>527</v>
      </c>
      <c r="E47" s="63" t="s">
        <v>492</v>
      </c>
      <c r="F47" s="67">
        <v>17312000</v>
      </c>
      <c r="G47" s="68">
        <f>VLOOKUP(B47,'Escalation Factors'!$C$18:$D$44,2,FALSE)</f>
        <v>1.2212868907317393</v>
      </c>
      <c r="H47" s="67">
        <f>F47*G47</f>
        <v>21142918.65234787</v>
      </c>
      <c r="I47" s="66">
        <f>H47*$I$4</f>
        <v>374229.66014655732</v>
      </c>
      <c r="J47" s="67">
        <f>H47+I47</f>
        <v>21517148.312494427</v>
      </c>
      <c r="K47" s="79">
        <v>1</v>
      </c>
      <c r="L47" s="67">
        <f t="shared" ref="L47:L73" si="29">J47*K47</f>
        <v>21517148.312494427</v>
      </c>
      <c r="M47" s="264">
        <v>0</v>
      </c>
      <c r="N47" s="67">
        <f>(J47-L47)*M47</f>
        <v>0</v>
      </c>
      <c r="O47" s="67">
        <f>J47-L47-N47</f>
        <v>0</v>
      </c>
      <c r="P47" s="72"/>
    </row>
    <row r="48" spans="1:16" s="14" customFormat="1" x14ac:dyDescent="0.3">
      <c r="A48" s="64"/>
      <c r="B48" s="72" t="s">
        <v>310</v>
      </c>
      <c r="C48" s="72" t="s">
        <v>528</v>
      </c>
      <c r="D48" s="63" t="s">
        <v>765</v>
      </c>
      <c r="E48" s="63" t="s">
        <v>492</v>
      </c>
      <c r="F48" s="67">
        <v>1315000</v>
      </c>
      <c r="G48" s="68">
        <f>VLOOKUP(B48,'Escalation Factors'!$C$18:$D$44,2,FALSE)</f>
        <v>1.2212868907317393</v>
      </c>
      <c r="H48" s="67">
        <f t="shared" ref="H48:H57" si="30">F48*G48</f>
        <v>1605992.2613122372</v>
      </c>
      <c r="I48" s="66">
        <f t="shared" ref="I48:I57" si="31">H48*$I$4</f>
        <v>28426.063025226598</v>
      </c>
      <c r="J48" s="67">
        <f t="shared" ref="J48:J57" si="32">H48+I48</f>
        <v>1634418.3243374638</v>
      </c>
      <c r="K48" s="79">
        <v>0.25</v>
      </c>
      <c r="L48" s="67">
        <f t="shared" si="29"/>
        <v>408604.58108436596</v>
      </c>
      <c r="M48" s="264">
        <f t="shared" ref="M48:M54" si="33">$M$4</f>
        <v>0.23407892834770871</v>
      </c>
      <c r="N48" s="67">
        <f t="shared" ref="N48:N62" si="34">(J48-L48)*M48</f>
        <v>286937.16737457848</v>
      </c>
      <c r="O48" s="67">
        <f t="shared" ref="O48:O62" si="35">J48-L48-N48</f>
        <v>938876.57587851933</v>
      </c>
      <c r="P48" s="72"/>
    </row>
    <row r="49" spans="1:16" s="14" customFormat="1" x14ac:dyDescent="0.3">
      <c r="A49" s="64"/>
      <c r="B49" s="72" t="s">
        <v>310</v>
      </c>
      <c r="C49" s="72" t="s">
        <v>530</v>
      </c>
      <c r="D49" s="63" t="s">
        <v>766</v>
      </c>
      <c r="E49" s="63" t="s">
        <v>492</v>
      </c>
      <c r="F49" s="67">
        <v>956000</v>
      </c>
      <c r="G49" s="68">
        <f>VLOOKUP(B49,'Escalation Factors'!$C$18:$D$44,2,FALSE)</f>
        <v>1.2212868907317393</v>
      </c>
      <c r="H49" s="67">
        <f t="shared" si="30"/>
        <v>1167550.2675395429</v>
      </c>
      <c r="I49" s="66">
        <f t="shared" si="31"/>
        <v>20665.639735449909</v>
      </c>
      <c r="J49" s="67">
        <f t="shared" si="32"/>
        <v>1188215.9072749927</v>
      </c>
      <c r="K49" s="79">
        <v>0.25</v>
      </c>
      <c r="L49" s="67">
        <f t="shared" si="29"/>
        <v>297053.97681874817</v>
      </c>
      <c r="M49" s="264">
        <f t="shared" si="33"/>
        <v>0.23407892834770871</v>
      </c>
      <c r="N49" s="67">
        <f t="shared" si="34"/>
        <v>208602.22966547305</v>
      </c>
      <c r="O49" s="67">
        <f t="shared" si="35"/>
        <v>682559.70079077152</v>
      </c>
      <c r="P49" s="72"/>
    </row>
    <row r="50" spans="1:16" s="14" customFormat="1" x14ac:dyDescent="0.3">
      <c r="A50" s="64"/>
      <c r="B50" s="72" t="s">
        <v>310</v>
      </c>
      <c r="C50" s="72" t="s">
        <v>532</v>
      </c>
      <c r="D50" s="63" t="s">
        <v>767</v>
      </c>
      <c r="E50" s="63" t="s">
        <v>492</v>
      </c>
      <c r="F50" s="67">
        <v>1168000</v>
      </c>
      <c r="G50" s="68">
        <f>VLOOKUP(B50,'Escalation Factors'!$C$18:$D$44,2,FALSE)</f>
        <v>1.2212868907317393</v>
      </c>
      <c r="H50" s="67">
        <f t="shared" si="30"/>
        <v>1426463.0883746715</v>
      </c>
      <c r="I50" s="66">
        <f t="shared" si="31"/>
        <v>25248.396664231688</v>
      </c>
      <c r="J50" s="67">
        <f t="shared" si="32"/>
        <v>1451711.4850389033</v>
      </c>
      <c r="K50" s="79">
        <v>0.25</v>
      </c>
      <c r="L50" s="67">
        <f t="shared" si="29"/>
        <v>362927.87125972583</v>
      </c>
      <c r="M50" s="264">
        <f t="shared" si="33"/>
        <v>0.23407892834770871</v>
      </c>
      <c r="N50" s="67">
        <f t="shared" si="34"/>
        <v>254861.30151597544</v>
      </c>
      <c r="O50" s="67">
        <f t="shared" si="35"/>
        <v>833922.31226320192</v>
      </c>
      <c r="P50" s="72"/>
    </row>
    <row r="51" spans="1:16" s="14" customFormat="1" x14ac:dyDescent="0.3">
      <c r="A51" s="64"/>
      <c r="B51" s="72" t="s">
        <v>310</v>
      </c>
      <c r="C51" s="72" t="s">
        <v>534</v>
      </c>
      <c r="D51" s="63" t="s">
        <v>768</v>
      </c>
      <c r="E51" s="63" t="s">
        <v>492</v>
      </c>
      <c r="F51" s="67">
        <v>1004000</v>
      </c>
      <c r="G51" s="68">
        <f>VLOOKUP(B51,'Escalation Factors'!$C$18:$D$44,2,FALSE)</f>
        <v>1.2212868907317393</v>
      </c>
      <c r="H51" s="67">
        <f t="shared" si="30"/>
        <v>1226172.0382946662</v>
      </c>
      <c r="I51" s="66">
        <f t="shared" si="31"/>
        <v>21703.245077815591</v>
      </c>
      <c r="J51" s="67">
        <f t="shared" si="32"/>
        <v>1247875.2833724818</v>
      </c>
      <c r="K51" s="79">
        <v>0.25</v>
      </c>
      <c r="L51" s="67">
        <f t="shared" si="29"/>
        <v>311968.82084312045</v>
      </c>
      <c r="M51" s="264">
        <f t="shared" si="33"/>
        <v>0.23407892834770871</v>
      </c>
      <c r="N51" s="67">
        <f t="shared" si="34"/>
        <v>219075.98178256792</v>
      </c>
      <c r="O51" s="67">
        <f t="shared" si="35"/>
        <v>716830.48074679344</v>
      </c>
      <c r="P51" s="72"/>
    </row>
    <row r="52" spans="1:16" s="14" customFormat="1" x14ac:dyDescent="0.3">
      <c r="A52" s="64"/>
      <c r="B52" s="72" t="s">
        <v>310</v>
      </c>
      <c r="C52" s="72" t="s">
        <v>536</v>
      </c>
      <c r="D52" s="63" t="s">
        <v>771</v>
      </c>
      <c r="E52" s="63" t="s">
        <v>465</v>
      </c>
      <c r="F52" s="67">
        <v>8956000</v>
      </c>
      <c r="G52" s="68">
        <f>VLOOKUP(B52,'Escalation Factors'!$C$18:$D$44,2,FALSE)</f>
        <v>1.2212868907317393</v>
      </c>
      <c r="H52" s="67">
        <f t="shared" si="30"/>
        <v>10937845.393393457</v>
      </c>
      <c r="I52" s="66">
        <f t="shared" si="31"/>
        <v>193599.86346306419</v>
      </c>
      <c r="J52" s="67">
        <f t="shared" si="32"/>
        <v>11131445.256856522</v>
      </c>
      <c r="K52" s="79">
        <v>0</v>
      </c>
      <c r="L52" s="67">
        <f t="shared" si="29"/>
        <v>0</v>
      </c>
      <c r="M52" s="264">
        <f t="shared" si="33"/>
        <v>0.23407892834770871</v>
      </c>
      <c r="N52" s="67">
        <f t="shared" si="34"/>
        <v>2605636.7766861599</v>
      </c>
      <c r="O52" s="67">
        <f t="shared" si="35"/>
        <v>8525808.4801703617</v>
      </c>
      <c r="P52" s="72"/>
    </row>
    <row r="53" spans="1:16" s="14" customFormat="1" x14ac:dyDescent="0.3">
      <c r="A53" s="64"/>
      <c r="B53" s="72" t="s">
        <v>310</v>
      </c>
      <c r="C53" s="72" t="s">
        <v>538</v>
      </c>
      <c r="D53" s="63" t="s">
        <v>539</v>
      </c>
      <c r="E53" s="63" t="s">
        <v>465</v>
      </c>
      <c r="F53" s="67">
        <v>4953000</v>
      </c>
      <c r="G53" s="68">
        <f>VLOOKUP(B53,'Escalation Factors'!$C$18:$D$44,2,FALSE)</f>
        <v>1.2212868907317393</v>
      </c>
      <c r="H53" s="67">
        <f t="shared" si="30"/>
        <v>6049033.969794305</v>
      </c>
      <c r="I53" s="66">
        <f t="shared" si="31"/>
        <v>107067.90126535921</v>
      </c>
      <c r="J53" s="67">
        <f t="shared" si="32"/>
        <v>6156101.8710596645</v>
      </c>
      <c r="K53" s="79">
        <v>0</v>
      </c>
      <c r="L53" s="67">
        <f t="shared" si="29"/>
        <v>0</v>
      </c>
      <c r="M53" s="264">
        <f t="shared" si="33"/>
        <v>0.23407892834770871</v>
      </c>
      <c r="N53" s="67">
        <f t="shared" si="34"/>
        <v>1441013.7287769709</v>
      </c>
      <c r="O53" s="67">
        <f t="shared" si="35"/>
        <v>4715088.1422826936</v>
      </c>
      <c r="P53" s="72"/>
    </row>
    <row r="54" spans="1:16" s="14" customFormat="1" x14ac:dyDescent="0.3">
      <c r="A54" s="64"/>
      <c r="B54" s="72" t="s">
        <v>310</v>
      </c>
      <c r="C54" s="72" t="s">
        <v>540</v>
      </c>
      <c r="D54" s="63" t="s">
        <v>541</v>
      </c>
      <c r="E54" s="63" t="s">
        <v>465</v>
      </c>
      <c r="F54" s="67">
        <v>839000</v>
      </c>
      <c r="G54" s="68">
        <f>VLOOKUP(B54,'Escalation Factors'!$C$18:$D$44,2,FALSE)</f>
        <v>1.2212868907317393</v>
      </c>
      <c r="H54" s="67">
        <f t="shared" si="30"/>
        <v>1024659.7013239294</v>
      </c>
      <c r="I54" s="66">
        <f t="shared" si="31"/>
        <v>18136.476713433549</v>
      </c>
      <c r="J54" s="67">
        <f t="shared" si="32"/>
        <v>1042796.1780373629</v>
      </c>
      <c r="K54" s="79">
        <v>0</v>
      </c>
      <c r="L54" s="67">
        <f t="shared" si="29"/>
        <v>0</v>
      </c>
      <c r="M54" s="264">
        <f t="shared" si="33"/>
        <v>0.23407892834770871</v>
      </c>
      <c r="N54" s="67">
        <f t="shared" si="34"/>
        <v>244096.61184007235</v>
      </c>
      <c r="O54" s="67">
        <f t="shared" si="35"/>
        <v>798699.56619729055</v>
      </c>
      <c r="P54" s="72"/>
    </row>
    <row r="55" spans="1:16" s="14" customFormat="1" x14ac:dyDescent="0.3">
      <c r="A55" s="64"/>
      <c r="B55" s="72" t="s">
        <v>310</v>
      </c>
      <c r="C55" s="72" t="s">
        <v>542</v>
      </c>
      <c r="D55" s="63" t="s">
        <v>543</v>
      </c>
      <c r="E55" s="63" t="s">
        <v>465</v>
      </c>
      <c r="F55" s="67">
        <v>100000</v>
      </c>
      <c r="G55" s="68">
        <f>VLOOKUP(B55,'Escalation Factors'!$C$18:$D$44,2,FALSE)</f>
        <v>1.2212868907317393</v>
      </c>
      <c r="H55" s="67">
        <f t="shared" si="30"/>
        <v>122128.68907317394</v>
      </c>
      <c r="I55" s="66">
        <f t="shared" si="31"/>
        <v>2161.6777965951787</v>
      </c>
      <c r="J55" s="67">
        <f t="shared" si="32"/>
        <v>124290.36686976912</v>
      </c>
      <c r="K55" s="79">
        <v>1</v>
      </c>
      <c r="L55" s="67">
        <f t="shared" si="29"/>
        <v>124290.36686976912</v>
      </c>
      <c r="M55" s="257">
        <v>0</v>
      </c>
      <c r="N55" s="67">
        <f t="shared" si="34"/>
        <v>0</v>
      </c>
      <c r="O55" s="67">
        <f t="shared" si="35"/>
        <v>0</v>
      </c>
      <c r="P55" s="207"/>
    </row>
    <row r="56" spans="1:16" s="14" customFormat="1" x14ac:dyDescent="0.3">
      <c r="A56" s="64"/>
      <c r="B56" s="72" t="s">
        <v>310</v>
      </c>
      <c r="C56" s="72" t="s">
        <v>544</v>
      </c>
      <c r="D56" s="63" t="s">
        <v>545</v>
      </c>
      <c r="E56" s="63" t="s">
        <v>465</v>
      </c>
      <c r="F56" s="67">
        <v>420000</v>
      </c>
      <c r="G56" s="68">
        <f>VLOOKUP(B56,'Escalation Factors'!$C$18:$D$44,2,FALSE)</f>
        <v>1.2212868907317393</v>
      </c>
      <c r="H56" s="67">
        <f t="shared" si="30"/>
        <v>512940.49410733051</v>
      </c>
      <c r="I56" s="66">
        <f t="shared" si="31"/>
        <v>9079.0467456997503</v>
      </c>
      <c r="J56" s="67">
        <f t="shared" si="32"/>
        <v>522019.54085303028</v>
      </c>
      <c r="K56" s="79">
        <v>0</v>
      </c>
      <c r="L56" s="67">
        <f t="shared" si="29"/>
        <v>0</v>
      </c>
      <c r="M56" s="264">
        <f t="shared" ref="M56:M62" si="36">$M$4</f>
        <v>0.23407892834770871</v>
      </c>
      <c r="N56" s="67">
        <f t="shared" si="34"/>
        <v>122193.77469944028</v>
      </c>
      <c r="O56" s="67">
        <f t="shared" si="35"/>
        <v>399825.76615359</v>
      </c>
      <c r="P56" s="207"/>
    </row>
    <row r="57" spans="1:16" s="14" customFormat="1" x14ac:dyDescent="0.3">
      <c r="A57" s="64"/>
      <c r="B57" s="72" t="s">
        <v>310</v>
      </c>
      <c r="C57" s="72" t="s">
        <v>546</v>
      </c>
      <c r="D57" s="63" t="s">
        <v>547</v>
      </c>
      <c r="E57" s="63" t="s">
        <v>465</v>
      </c>
      <c r="F57" s="67">
        <v>2233000</v>
      </c>
      <c r="G57" s="68">
        <f>VLOOKUP(B57,'Escalation Factors'!$C$18:$D$44,2,FALSE)</f>
        <v>1.2212868907317393</v>
      </c>
      <c r="H57" s="67">
        <f t="shared" si="30"/>
        <v>2727133.6270039738</v>
      </c>
      <c r="I57" s="66">
        <f t="shared" si="31"/>
        <v>48270.265197970337</v>
      </c>
      <c r="J57" s="67">
        <f t="shared" si="32"/>
        <v>2775403.8922019443</v>
      </c>
      <c r="K57" s="79">
        <v>0.25</v>
      </c>
      <c r="L57" s="67">
        <f t="shared" si="29"/>
        <v>693850.97305048606</v>
      </c>
      <c r="M57" s="264">
        <f t="shared" si="36"/>
        <v>0.23407892834770871</v>
      </c>
      <c r="N57" s="67">
        <f t="shared" si="34"/>
        <v>487247.6766140181</v>
      </c>
      <c r="O57" s="67">
        <f t="shared" si="35"/>
        <v>1594305.24253744</v>
      </c>
      <c r="P57" s="207"/>
    </row>
    <row r="58" spans="1:16" s="14" customFormat="1" x14ac:dyDescent="0.3">
      <c r="A58" s="64"/>
      <c r="B58" s="72" t="s">
        <v>310</v>
      </c>
      <c r="C58" s="72" t="s">
        <v>548</v>
      </c>
      <c r="D58" s="63" t="s">
        <v>770</v>
      </c>
      <c r="E58" s="63" t="s">
        <v>465</v>
      </c>
      <c r="F58" s="67">
        <v>882000</v>
      </c>
      <c r="G58" s="68">
        <f>VLOOKUP(B58,'Escalation Factors'!$C$18:$D$44,2,FALSE)</f>
        <v>1.2212868907317393</v>
      </c>
      <c r="H58" s="67">
        <f t="shared" ref="H58:H62" si="37">F58*G58</f>
        <v>1077175.0376253941</v>
      </c>
      <c r="I58" s="66">
        <f t="shared" ref="I58:I62" si="38">H58*$I$4</f>
        <v>19065.998165969475</v>
      </c>
      <c r="J58" s="67">
        <f t="shared" ref="J58:J62" si="39">H58+I58</f>
        <v>1096241.0357913636</v>
      </c>
      <c r="K58" s="79">
        <v>0.25</v>
      </c>
      <c r="L58" s="67">
        <f t="shared" si="29"/>
        <v>274060.25894784089</v>
      </c>
      <c r="M58" s="264">
        <f t="shared" si="36"/>
        <v>0.23407892834770871</v>
      </c>
      <c r="N58" s="67">
        <f t="shared" si="34"/>
        <v>192455.19515161842</v>
      </c>
      <c r="O58" s="67">
        <f t="shared" si="35"/>
        <v>629725.58169190423</v>
      </c>
      <c r="P58" s="207"/>
    </row>
    <row r="59" spans="1:16" s="14" customFormat="1" x14ac:dyDescent="0.3">
      <c r="A59" s="64"/>
      <c r="B59" s="72" t="s">
        <v>310</v>
      </c>
      <c r="C59" s="72" t="s">
        <v>550</v>
      </c>
      <c r="D59" s="63" t="s">
        <v>769</v>
      </c>
      <c r="E59" s="63" t="s">
        <v>509</v>
      </c>
      <c r="F59" s="67">
        <v>6104000</v>
      </c>
      <c r="G59" s="68">
        <f>VLOOKUP(B59,'Escalation Factors'!$C$18:$D$44,2,FALSE)</f>
        <v>1.2212868907317393</v>
      </c>
      <c r="H59" s="67">
        <f t="shared" si="37"/>
        <v>7454735.181026537</v>
      </c>
      <c r="I59" s="66">
        <f t="shared" si="38"/>
        <v>131948.81270416972</v>
      </c>
      <c r="J59" s="67">
        <f t="shared" si="39"/>
        <v>7586683.9937307071</v>
      </c>
      <c r="K59" s="79">
        <v>0.25</v>
      </c>
      <c r="L59" s="67">
        <f t="shared" si="29"/>
        <v>1896670.9984326768</v>
      </c>
      <c r="M59" s="264">
        <f t="shared" si="36"/>
        <v>0.23407892834770871</v>
      </c>
      <c r="N59" s="67">
        <f t="shared" si="34"/>
        <v>1331912.1442238989</v>
      </c>
      <c r="O59" s="67">
        <f t="shared" si="35"/>
        <v>4358100.8510741312</v>
      </c>
      <c r="P59" s="207"/>
    </row>
    <row r="60" spans="1:16" s="14" customFormat="1" x14ac:dyDescent="0.3">
      <c r="A60" s="64"/>
      <c r="B60" s="72" t="s">
        <v>310</v>
      </c>
      <c r="C60" s="72" t="s">
        <v>552</v>
      </c>
      <c r="D60" s="63" t="s">
        <v>725</v>
      </c>
      <c r="E60" s="63" t="s">
        <v>474</v>
      </c>
      <c r="F60" s="67">
        <v>1045000</v>
      </c>
      <c r="G60" s="68">
        <f>VLOOKUP(B60,'Escalation Factors'!$C$18:$D$44,2,FALSE)</f>
        <v>1.2212868907317393</v>
      </c>
      <c r="H60" s="67">
        <f t="shared" si="37"/>
        <v>1276244.8008146677</v>
      </c>
      <c r="I60" s="66">
        <f t="shared" si="38"/>
        <v>22589.532974419621</v>
      </c>
      <c r="J60" s="67">
        <f t="shared" si="39"/>
        <v>1298834.3337890874</v>
      </c>
      <c r="K60" s="79">
        <v>0.52962905956595352</v>
      </c>
      <c r="L60" s="67">
        <f>J60*K60</f>
        <v>687900.40673668613</v>
      </c>
      <c r="M60" s="264">
        <f t="shared" si="36"/>
        <v>0.23407892834770871</v>
      </c>
      <c r="N60" s="67">
        <f t="shared" si="34"/>
        <v>143006.75893568332</v>
      </c>
      <c r="O60" s="67">
        <f t="shared" si="35"/>
        <v>467927.16811671795</v>
      </c>
      <c r="P60" s="207"/>
    </row>
    <row r="61" spans="1:16" s="14" customFormat="1" x14ac:dyDescent="0.3">
      <c r="A61" s="64"/>
      <c r="B61" s="72" t="s">
        <v>310</v>
      </c>
      <c r="C61" s="72" t="s">
        <v>554</v>
      </c>
      <c r="D61" s="63" t="s">
        <v>555</v>
      </c>
      <c r="E61" s="63" t="s">
        <v>474</v>
      </c>
      <c r="F61" s="67">
        <v>629000</v>
      </c>
      <c r="G61" s="68">
        <f>VLOOKUP(B61,'Escalation Factors'!$C$18:$D$44,2,FALSE)</f>
        <v>1.2212868907317393</v>
      </c>
      <c r="H61" s="67">
        <f t="shared" si="37"/>
        <v>768189.45427026402</v>
      </c>
      <c r="I61" s="66">
        <f t="shared" si="38"/>
        <v>13596.953340583674</v>
      </c>
      <c r="J61" s="67">
        <f t="shared" si="39"/>
        <v>781786.40761084773</v>
      </c>
      <c r="K61" s="79">
        <v>0.52962905956595352</v>
      </c>
      <c r="L61" s="67">
        <f t="shared" si="29"/>
        <v>414056.79984437849</v>
      </c>
      <c r="M61" s="264">
        <f t="shared" si="36"/>
        <v>0.23407892834770871</v>
      </c>
      <c r="N61" s="67">
        <f>(J61-L61)*M61</f>
        <v>86077.752507698387</v>
      </c>
      <c r="O61" s="67">
        <f t="shared" si="35"/>
        <v>281651.85525877087</v>
      </c>
      <c r="P61" s="207"/>
    </row>
    <row r="62" spans="1:16" s="14" customFormat="1" x14ac:dyDescent="0.3">
      <c r="A62" s="64"/>
      <c r="B62" s="72" t="s">
        <v>310</v>
      </c>
      <c r="C62" s="72" t="s">
        <v>726</v>
      </c>
      <c r="D62" s="63" t="s">
        <v>727</v>
      </c>
      <c r="E62" s="63" t="s">
        <v>474</v>
      </c>
      <c r="F62" s="67">
        <v>18533000</v>
      </c>
      <c r="G62" s="68">
        <f>VLOOKUP(B62,'Escalation Factors'!$C$18:$D$44,2,FALSE)</f>
        <v>1.2212868907317393</v>
      </c>
      <c r="H62" s="67">
        <f t="shared" si="37"/>
        <v>22634109.945931327</v>
      </c>
      <c r="I62" s="66">
        <f t="shared" si="38"/>
        <v>400623.74604298448</v>
      </c>
      <c r="J62" s="67">
        <f t="shared" si="39"/>
        <v>23034733.691974312</v>
      </c>
      <c r="K62" s="79">
        <v>0.25977011494252866</v>
      </c>
      <c r="L62" s="67">
        <f t="shared" si="29"/>
        <v>5983735.4188347049</v>
      </c>
      <c r="M62" s="264">
        <f t="shared" si="36"/>
        <v>0.23407892834770871</v>
      </c>
      <c r="N62" s="67">
        <f t="shared" si="34"/>
        <v>3991279.4030351513</v>
      </c>
      <c r="O62" s="67">
        <f t="shared" si="35"/>
        <v>13059718.870104456</v>
      </c>
      <c r="P62" s="207"/>
    </row>
    <row r="63" spans="1:16" s="14" customFormat="1" x14ac:dyDescent="0.3">
      <c r="A63" s="64"/>
      <c r="B63" s="69" t="s">
        <v>310</v>
      </c>
      <c r="C63" s="69"/>
      <c r="D63" s="70"/>
      <c r="E63" s="140" t="s">
        <v>13</v>
      </c>
      <c r="F63" s="71">
        <f>SUBTOTAL(9,F47:F62)</f>
        <v>66449000</v>
      </c>
      <c r="G63" s="71"/>
      <c r="H63" s="71">
        <f>SUBTOTAL(9,H47:H62)</f>
        <v>81153292.60223335</v>
      </c>
      <c r="I63" s="71">
        <f>SUBTOTAL(9,I47:I62)</f>
        <v>1436413.2790595302</v>
      </c>
      <c r="J63" s="71">
        <f>SUBTOTAL(9,J47:J62)</f>
        <v>82589705.88129288</v>
      </c>
      <c r="K63" s="71"/>
      <c r="L63" s="71">
        <f>SUBTOTAL(9,L47:L62)</f>
        <v>32972268.785216931</v>
      </c>
      <c r="M63" s="256"/>
      <c r="N63" s="71">
        <f>SUBTOTAL(9,N47:N62)</f>
        <v>11614396.502809307</v>
      </c>
      <c r="O63" s="71">
        <f>SUBTOTAL(9,O47:O62)</f>
        <v>38003040.593266644</v>
      </c>
      <c r="P63" s="208" t="s">
        <v>310</v>
      </c>
    </row>
    <row r="64" spans="1:16" s="14" customFormat="1" x14ac:dyDescent="0.3">
      <c r="A64" s="64"/>
      <c r="B64" s="72" t="s">
        <v>311</v>
      </c>
      <c r="C64" s="72" t="s">
        <v>562</v>
      </c>
      <c r="D64" s="63" t="s">
        <v>563</v>
      </c>
      <c r="E64" s="63" t="s">
        <v>474</v>
      </c>
      <c r="F64" s="67">
        <v>65516000</v>
      </c>
      <c r="G64" s="68">
        <f>VLOOKUP(B64,'Escalation Factors'!$C$18:$D$44,2,FALSE)</f>
        <v>1.3643673246682286</v>
      </c>
      <c r="H64" s="67">
        <f>F64*G64</f>
        <v>89387889.642963663</v>
      </c>
      <c r="I64" s="66">
        <f>H64*$I$4</f>
        <v>1582165.6466804568</v>
      </c>
      <c r="J64" s="67">
        <f>H64+I64</f>
        <v>90970055.289644122</v>
      </c>
      <c r="K64" s="79">
        <v>0.63100597528034708</v>
      </c>
      <c r="L64" s="67">
        <f t="shared" si="29"/>
        <v>57402648.459348984</v>
      </c>
      <c r="M64" s="264">
        <f>$M$4</f>
        <v>0.23407892834770871</v>
      </c>
      <c r="N64" s="67">
        <f>(J64-L64)*M64</f>
        <v>7857422.6182470433</v>
      </c>
      <c r="O64" s="67">
        <f>J64-L64-N64</f>
        <v>25709984.212048095</v>
      </c>
      <c r="P64" s="207"/>
    </row>
    <row r="65" spans="1:16" s="14" customFormat="1" x14ac:dyDescent="0.3">
      <c r="A65" s="64"/>
      <c r="B65" s="69" t="s">
        <v>311</v>
      </c>
      <c r="C65" s="69"/>
      <c r="D65" s="70"/>
      <c r="E65" s="140" t="s">
        <v>13</v>
      </c>
      <c r="F65" s="71">
        <f>SUBTOTAL(9,F64:F64)</f>
        <v>65516000</v>
      </c>
      <c r="G65" s="71"/>
      <c r="H65" s="71">
        <f>SUBTOTAL(9,H64:H64)</f>
        <v>89387889.642963663</v>
      </c>
      <c r="I65" s="71">
        <f>SUBTOTAL(9,I64:I64)</f>
        <v>1582165.6466804568</v>
      </c>
      <c r="J65" s="71">
        <f>SUBTOTAL(9,J64:J64)</f>
        <v>90970055.289644122</v>
      </c>
      <c r="K65" s="71"/>
      <c r="L65" s="71">
        <f>SUBTOTAL(9,L64:L64)</f>
        <v>57402648.459348984</v>
      </c>
      <c r="M65" s="256"/>
      <c r="N65" s="71">
        <f>SUBTOTAL(9,N64:N64)</f>
        <v>7857422.6182470433</v>
      </c>
      <c r="O65" s="71">
        <f>SUBTOTAL(9,O64:O64)</f>
        <v>25709984.212048095</v>
      </c>
      <c r="P65" s="208" t="s">
        <v>311</v>
      </c>
    </row>
    <row r="66" spans="1:16" s="14" customFormat="1" x14ac:dyDescent="0.3">
      <c r="A66" s="64"/>
      <c r="B66" s="72" t="s">
        <v>312</v>
      </c>
      <c r="C66" s="72" t="s">
        <v>564</v>
      </c>
      <c r="D66" s="63" t="s">
        <v>565</v>
      </c>
      <c r="E66" s="63" t="s">
        <v>492</v>
      </c>
      <c r="F66" s="67">
        <v>2702000</v>
      </c>
      <c r="G66" s="68">
        <f>VLOOKUP(B66,'Escalation Factors'!$C$18:$D$44,2,FALSE)</f>
        <v>1.5242104134164698</v>
      </c>
      <c r="H66" s="67">
        <f>F66*G66</f>
        <v>4118416.5370513014</v>
      </c>
      <c r="I66" s="66">
        <f>H66*$I$4</f>
        <v>72895.972705808032</v>
      </c>
      <c r="J66" s="67">
        <f>H66+I66</f>
        <v>4191312.5097571095</v>
      </c>
      <c r="K66" s="79">
        <v>0.25</v>
      </c>
      <c r="L66" s="67">
        <f t="shared" si="29"/>
        <v>1047828.1274392774</v>
      </c>
      <c r="M66" s="264">
        <f>$M$4</f>
        <v>0.23407892834770871</v>
      </c>
      <c r="N66" s="67">
        <f>(J66-L66)*M66</f>
        <v>735823.4554907172</v>
      </c>
      <c r="O66" s="67">
        <f>J66-L66-N66</f>
        <v>2407660.926827115</v>
      </c>
      <c r="P66" s="207"/>
    </row>
    <row r="67" spans="1:16" s="14" customFormat="1" x14ac:dyDescent="0.3">
      <c r="A67" s="64"/>
      <c r="B67" s="72" t="s">
        <v>312</v>
      </c>
      <c r="C67" s="72" t="s">
        <v>566</v>
      </c>
      <c r="D67" s="63" t="s">
        <v>567</v>
      </c>
      <c r="E67" s="63" t="s">
        <v>492</v>
      </c>
      <c r="F67" s="67">
        <v>2916000</v>
      </c>
      <c r="G67" s="68">
        <f>VLOOKUP(B67,'Escalation Factors'!$C$18:$D$44,2,FALSE)</f>
        <v>1.5242104134164698</v>
      </c>
      <c r="H67" s="67">
        <f t="shared" ref="H67:H73" si="40">F67*G67</f>
        <v>4444597.5655224258</v>
      </c>
      <c r="I67" s="66">
        <f t="shared" ref="I67:I73" si="41">H67*$I$4</f>
        <v>78669.376909746934</v>
      </c>
      <c r="J67" s="67">
        <f t="shared" ref="J67:J73" si="42">H67+I67</f>
        <v>4523266.9424321726</v>
      </c>
      <c r="K67" s="79">
        <v>0.25</v>
      </c>
      <c r="L67" s="67">
        <f t="shared" si="29"/>
        <v>1130816.7356080431</v>
      </c>
      <c r="M67" s="264">
        <f>$M$4</f>
        <v>0.23407892834770871</v>
      </c>
      <c r="N67" s="67">
        <f t="shared" ref="N67:N73" si="43">(J67-L67)*M67</f>
        <v>794101.10888635495</v>
      </c>
      <c r="O67" s="67">
        <f t="shared" ref="O67:O73" si="44">J67-L67-N67</f>
        <v>2598349.0979377744</v>
      </c>
      <c r="P67" s="207"/>
    </row>
    <row r="68" spans="1:16" s="14" customFormat="1" x14ac:dyDescent="0.3">
      <c r="A68" s="64"/>
      <c r="B68" s="72" t="s">
        <v>312</v>
      </c>
      <c r="C68" s="72" t="s">
        <v>568</v>
      </c>
      <c r="D68" s="63" t="s">
        <v>569</v>
      </c>
      <c r="E68" s="63" t="s">
        <v>492</v>
      </c>
      <c r="F68" s="67">
        <v>1258000</v>
      </c>
      <c r="G68" s="68">
        <f>VLOOKUP(B68,'Escalation Factors'!$C$18:$D$44,2,FALSE)</f>
        <v>1.5242104134164698</v>
      </c>
      <c r="H68" s="67">
        <f t="shared" si="40"/>
        <v>1917456.7000779191</v>
      </c>
      <c r="I68" s="66">
        <f t="shared" si="41"/>
        <v>33938.983591379169</v>
      </c>
      <c r="J68" s="67">
        <f t="shared" si="42"/>
        <v>1951395.6836692982</v>
      </c>
      <c r="K68" s="79">
        <v>0.25</v>
      </c>
      <c r="L68" s="67">
        <f t="shared" si="29"/>
        <v>487848.92091732455</v>
      </c>
      <c r="M68" s="264">
        <f>$M$4</f>
        <v>0.23407892834770871</v>
      </c>
      <c r="N68" s="67">
        <f t="shared" si="43"/>
        <v>342585.45781174029</v>
      </c>
      <c r="O68" s="67">
        <f t="shared" si="44"/>
        <v>1120961.3049402335</v>
      </c>
      <c r="P68" s="207"/>
    </row>
    <row r="69" spans="1:16" s="14" customFormat="1" x14ac:dyDescent="0.3">
      <c r="A69" s="64"/>
      <c r="B69" s="72" t="s">
        <v>312</v>
      </c>
      <c r="C69" s="72" t="s">
        <v>570</v>
      </c>
      <c r="D69" s="63" t="s">
        <v>571</v>
      </c>
      <c r="E69" s="63" t="s">
        <v>465</v>
      </c>
      <c r="F69" s="67">
        <v>38000</v>
      </c>
      <c r="G69" s="68">
        <f>VLOOKUP(B69,'Escalation Factors'!$C$18:$D$44,2,FALSE)</f>
        <v>1.5242104134164698</v>
      </c>
      <c r="H69" s="67">
        <f t="shared" si="40"/>
        <v>57919.995709825853</v>
      </c>
      <c r="I69" s="66">
        <f t="shared" si="41"/>
        <v>1025.1839240639176</v>
      </c>
      <c r="J69" s="67">
        <f t="shared" si="42"/>
        <v>58945.179633889769</v>
      </c>
      <c r="K69" s="79">
        <v>1</v>
      </c>
      <c r="L69" s="67">
        <f t="shared" si="29"/>
        <v>58945.179633889769</v>
      </c>
      <c r="M69" s="257">
        <v>0</v>
      </c>
      <c r="N69" s="67">
        <f t="shared" si="43"/>
        <v>0</v>
      </c>
      <c r="O69" s="67">
        <f t="shared" si="44"/>
        <v>0</v>
      </c>
      <c r="P69" s="207"/>
    </row>
    <row r="70" spans="1:16" s="14" customFormat="1" x14ac:dyDescent="0.3">
      <c r="A70" s="64"/>
      <c r="B70" s="72" t="s">
        <v>312</v>
      </c>
      <c r="C70" s="72" t="s">
        <v>572</v>
      </c>
      <c r="D70" s="63" t="s">
        <v>573</v>
      </c>
      <c r="E70" s="63" t="s">
        <v>509</v>
      </c>
      <c r="F70" s="67">
        <v>6290000</v>
      </c>
      <c r="G70" s="68">
        <f>VLOOKUP(B70,'Escalation Factors'!$C$18:$D$44,2,FALSE)</f>
        <v>1.5242104134164698</v>
      </c>
      <c r="H70" s="67">
        <f t="shared" si="40"/>
        <v>9587283.5003895946</v>
      </c>
      <c r="I70" s="66">
        <f t="shared" si="41"/>
        <v>169694.91795689584</v>
      </c>
      <c r="J70" s="67">
        <f t="shared" si="42"/>
        <v>9756978.4183464907</v>
      </c>
      <c r="K70" s="79">
        <v>1</v>
      </c>
      <c r="L70" s="67">
        <f t="shared" si="29"/>
        <v>9756978.4183464907</v>
      </c>
      <c r="M70" s="257">
        <v>0</v>
      </c>
      <c r="N70" s="67">
        <f t="shared" si="43"/>
        <v>0</v>
      </c>
      <c r="O70" s="67">
        <f t="shared" si="44"/>
        <v>0</v>
      </c>
      <c r="P70" s="207"/>
    </row>
    <row r="71" spans="1:16" s="14" customFormat="1" x14ac:dyDescent="0.3">
      <c r="A71" s="64"/>
      <c r="B71" s="72" t="s">
        <v>312</v>
      </c>
      <c r="C71" s="72" t="s">
        <v>574</v>
      </c>
      <c r="D71" s="63" t="s">
        <v>575</v>
      </c>
      <c r="E71" s="63" t="s">
        <v>474</v>
      </c>
      <c r="F71" s="67">
        <v>16228000</v>
      </c>
      <c r="G71" s="68">
        <f>VLOOKUP(B71,'Escalation Factors'!$C$18:$D$44,2,FALSE)</f>
        <v>1.5242104134164698</v>
      </c>
      <c r="H71" s="67">
        <f t="shared" si="40"/>
        <v>24734886.588922471</v>
      </c>
      <c r="I71" s="66">
        <f t="shared" si="41"/>
        <v>437807.49262392777</v>
      </c>
      <c r="J71" s="67">
        <f t="shared" si="42"/>
        <v>25172694.0815464</v>
      </c>
      <c r="K71" s="79">
        <v>0.63100597528034708</v>
      </c>
      <c r="L71" s="67">
        <f t="shared" si="29"/>
        <v>15884120.379360007</v>
      </c>
      <c r="M71" s="264">
        <f>$M$4</f>
        <v>0.23407892834770871</v>
      </c>
      <c r="N71" s="67">
        <f>(J71-L71)*M71</f>
        <v>2174259.3780864999</v>
      </c>
      <c r="O71" s="67">
        <f t="shared" si="44"/>
        <v>7114314.3240998928</v>
      </c>
      <c r="P71" s="207"/>
    </row>
    <row r="72" spans="1:16" s="14" customFormat="1" x14ac:dyDescent="0.3">
      <c r="A72" s="64"/>
      <c r="B72" s="72" t="s">
        <v>312</v>
      </c>
      <c r="C72" s="72" t="s">
        <v>728</v>
      </c>
      <c r="D72" s="63" t="s">
        <v>725</v>
      </c>
      <c r="E72" s="63" t="s">
        <v>474</v>
      </c>
      <c r="F72" s="67">
        <v>36278000</v>
      </c>
      <c r="G72" s="68">
        <f>VLOOKUP(B72,'Escalation Factors'!$C$18:$D$44,2,FALSE)</f>
        <v>1.5242104134164698</v>
      </c>
      <c r="H72" s="67">
        <f t="shared" si="40"/>
        <v>55295305.377922691</v>
      </c>
      <c r="I72" s="66">
        <f t="shared" si="41"/>
        <v>978726.90518923162</v>
      </c>
      <c r="J72" s="67">
        <f t="shared" si="42"/>
        <v>56274032.283111922</v>
      </c>
      <c r="K72" s="79">
        <v>0.52962905956595296</v>
      </c>
      <c r="L72" s="67">
        <f t="shared" si="29"/>
        <v>29804362.796088643</v>
      </c>
      <c r="M72" s="264">
        <f>$M$4</f>
        <v>0.23407892834770871</v>
      </c>
      <c r="N72" s="67">
        <f t="shared" si="43"/>
        <v>6195991.8672404541</v>
      </c>
      <c r="O72" s="67">
        <f t="shared" si="44"/>
        <v>20273677.619782824</v>
      </c>
      <c r="P72" s="207"/>
    </row>
    <row r="73" spans="1:16" s="14" customFormat="1" x14ac:dyDescent="0.3">
      <c r="A73" s="64"/>
      <c r="B73" s="72" t="s">
        <v>312</v>
      </c>
      <c r="C73" s="72" t="s">
        <v>580</v>
      </c>
      <c r="D73" s="63" t="s">
        <v>581</v>
      </c>
      <c r="E73" s="63" t="s">
        <v>479</v>
      </c>
      <c r="F73" s="67">
        <v>50000</v>
      </c>
      <c r="G73" s="68">
        <f>VLOOKUP(B73,'Escalation Factors'!$C$18:$D$44,2,FALSE)</f>
        <v>1.5242104134164698</v>
      </c>
      <c r="H73" s="67">
        <f t="shared" si="40"/>
        <v>76210.520670823491</v>
      </c>
      <c r="I73" s="66">
        <f t="shared" si="41"/>
        <v>1348.9262158735758</v>
      </c>
      <c r="J73" s="67">
        <f t="shared" si="42"/>
        <v>77559.446886697071</v>
      </c>
      <c r="K73" s="79">
        <v>0.5</v>
      </c>
      <c r="L73" s="67">
        <f t="shared" si="29"/>
        <v>38779.723443348536</v>
      </c>
      <c r="M73" s="264">
        <f>$M$4</f>
        <v>0.23407892834770871</v>
      </c>
      <c r="N73" s="67">
        <f t="shared" si="43"/>
        <v>9077.5161052395415</v>
      </c>
      <c r="O73" s="67">
        <f t="shared" si="44"/>
        <v>29702.207338108994</v>
      </c>
      <c r="P73" s="207"/>
    </row>
    <row r="74" spans="1:16" s="14" customFormat="1" x14ac:dyDescent="0.3">
      <c r="A74" s="64"/>
      <c r="B74" s="73" t="s">
        <v>312</v>
      </c>
      <c r="C74" s="73"/>
      <c r="D74" s="74"/>
      <c r="E74" s="209" t="s">
        <v>13</v>
      </c>
      <c r="F74" s="100">
        <f>SUBTOTAL(9,F66:F73)</f>
        <v>65760000</v>
      </c>
      <c r="G74" s="100"/>
      <c r="H74" s="100">
        <f>SUBTOTAL(9,H66:H73)</f>
        <v>100232076.78626704</v>
      </c>
      <c r="I74" s="100">
        <f>SUBTOTAL(9,I66:I73)</f>
        <v>1774107.7591169267</v>
      </c>
      <c r="J74" s="100">
        <f>SUBTOTAL(9,J66:J73)</f>
        <v>102006184.54538397</v>
      </c>
      <c r="K74" s="100"/>
      <c r="L74" s="100">
        <f>SUBTOTAL(9,L66:L73)</f>
        <v>58209680.280837029</v>
      </c>
      <c r="M74" s="257"/>
      <c r="N74" s="100">
        <f>SUBTOTAL(9,N66:N73)</f>
        <v>10251838.783621008</v>
      </c>
      <c r="O74" s="100">
        <f>SUBTOTAL(9,O66:O73)</f>
        <v>33544665.480925947</v>
      </c>
      <c r="P74" s="64" t="s">
        <v>312</v>
      </c>
    </row>
    <row r="75" spans="1:16" s="14" customFormat="1" x14ac:dyDescent="0.3">
      <c r="A75" s="64"/>
      <c r="B75" s="72"/>
      <c r="C75" s="72"/>
      <c r="D75" s="63"/>
      <c r="E75" s="210"/>
      <c r="F75" s="206"/>
      <c r="G75" s="100"/>
      <c r="H75" s="100"/>
      <c r="I75" s="100"/>
      <c r="J75" s="100"/>
      <c r="K75" s="100"/>
      <c r="L75" s="100"/>
      <c r="M75" s="257"/>
      <c r="N75" s="100"/>
      <c r="O75" s="100"/>
      <c r="P75" s="64"/>
    </row>
    <row r="76" spans="1:16" s="2" customFormat="1" x14ac:dyDescent="0.3">
      <c r="A76" s="4"/>
      <c r="B76" s="2" t="s">
        <v>14</v>
      </c>
      <c r="F76" s="13">
        <f>SUBTOTAL(9,F8:F74)</f>
        <v>257210000</v>
      </c>
      <c r="G76" s="13"/>
      <c r="H76" s="13">
        <f>SUBTOTAL(9,H8:H74)</f>
        <v>334624057.30345809</v>
      </c>
      <c r="I76" s="13">
        <f>SUBTOTAL(9,I8:I74)</f>
        <v>5922845.8142712107</v>
      </c>
      <c r="J76" s="13">
        <f>SUBTOTAL(9,J8:J74)</f>
        <v>340546903.11772931</v>
      </c>
      <c r="K76" s="13"/>
      <c r="L76" s="13">
        <f>SUBTOTAL(9,L8:L74)</f>
        <v>190949810.19284204</v>
      </c>
      <c r="M76" s="266"/>
      <c r="N76" s="13">
        <f>SUBTOTAL(9,N8:N74)</f>
        <v>35017527.195790209</v>
      </c>
      <c r="O76" s="13">
        <f>SUBTOTAL(9,O8:O74)</f>
        <v>114579565.72909708</v>
      </c>
      <c r="P76" s="2" t="s">
        <v>824</v>
      </c>
    </row>
    <row r="77" spans="1:16" x14ac:dyDescent="0.3">
      <c r="H77" s="13">
        <f>H76-(H74/5)</f>
        <v>314577641.94620466</v>
      </c>
      <c r="I77" s="13">
        <f>I76-(I74/5)</f>
        <v>5568024.2624478256</v>
      </c>
      <c r="J77" s="13">
        <f>J76-(J74/5)</f>
        <v>320145666.2086525</v>
      </c>
      <c r="L77" s="13">
        <f>L76-(L74/5)</f>
        <v>179307874.13667464</v>
      </c>
      <c r="N77" s="13">
        <f>N76-(N74/5)</f>
        <v>32967159.439066008</v>
      </c>
      <c r="O77" s="13">
        <f>O76-(O74/5)</f>
        <v>107870632.63291189</v>
      </c>
      <c r="P77" s="2" t="s">
        <v>817</v>
      </c>
    </row>
    <row r="78" spans="1:16" x14ac:dyDescent="0.3">
      <c r="D78" s="42"/>
      <c r="E78" s="42"/>
      <c r="F78" s="1"/>
      <c r="J78" s="1"/>
    </row>
    <row r="79" spans="1:16" x14ac:dyDescent="0.3">
      <c r="D79" s="42"/>
      <c r="E79" s="42"/>
      <c r="M79" s="265"/>
    </row>
    <row r="80" spans="1:16" x14ac:dyDescent="0.3">
      <c r="D80" s="42"/>
      <c r="E80" s="42"/>
    </row>
    <row r="81" spans="4:10" x14ac:dyDescent="0.3">
      <c r="D81" s="42"/>
      <c r="E81" s="42"/>
    </row>
    <row r="82" spans="4:10" x14ac:dyDescent="0.3">
      <c r="D82" s="42"/>
      <c r="E82" s="42"/>
      <c r="F82" s="1"/>
      <c r="H82" s="272"/>
      <c r="I82" s="216"/>
      <c r="J82" s="1"/>
    </row>
    <row r="83" spans="4:10" x14ac:dyDescent="0.3">
      <c r="D83" s="42"/>
      <c r="E83" s="42"/>
      <c r="F83" s="1"/>
      <c r="H83" s="272"/>
      <c r="I83" s="216"/>
      <c r="J83" s="1"/>
    </row>
    <row r="84" spans="4:10" x14ac:dyDescent="0.3">
      <c r="D84" s="42"/>
      <c r="E84" s="42"/>
      <c r="F84" s="13"/>
      <c r="H84" s="272"/>
    </row>
    <row r="85" spans="4:10" x14ac:dyDescent="0.3">
      <c r="H85" s="5"/>
    </row>
    <row r="86" spans="4:10" x14ac:dyDescent="0.3">
      <c r="H86" s="71"/>
    </row>
  </sheetData>
  <pageMargins left="0.7" right="0.7" top="0.75" bottom="0.75" header="0.3" footer="0.3"/>
  <pageSetup paperSize="17" scale="6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A1:O110"/>
  <sheetViews>
    <sheetView topLeftCell="A85" zoomScale="75" zoomScaleNormal="75" workbookViewId="0">
      <selection activeCell="L101" sqref="L101"/>
    </sheetView>
  </sheetViews>
  <sheetFormatPr defaultRowHeight="12.5" x14ac:dyDescent="0.25"/>
  <cols>
    <col min="1" max="1" width="10.453125" customWidth="1"/>
    <col min="2" max="2" width="13.453125" style="149" bestFit="1" customWidth="1"/>
    <col min="3" max="3" width="10.81640625" style="57" customWidth="1"/>
    <col min="4" max="4" width="11.81640625" style="9" customWidth="1"/>
    <col min="5" max="5" width="13.81640625" bestFit="1" customWidth="1"/>
    <col min="6" max="6" width="13.81640625" style="24" bestFit="1" customWidth="1"/>
    <col min="7" max="8" width="12.54296875" style="24" bestFit="1" customWidth="1"/>
    <col min="9" max="9" width="13.453125" style="25" bestFit="1" customWidth="1"/>
    <col min="10" max="10" width="11.1796875" style="25" bestFit="1" customWidth="1"/>
    <col min="11" max="11" width="16.453125" style="26" bestFit="1" customWidth="1"/>
    <col min="12" max="12" width="15.1796875" style="26" bestFit="1" customWidth="1"/>
    <col min="14" max="14" width="14.1796875" bestFit="1" customWidth="1"/>
  </cols>
  <sheetData>
    <row r="1" spans="1:15" s="46" customFormat="1" ht="23" x14ac:dyDescent="0.5">
      <c r="A1" s="45" t="s">
        <v>812</v>
      </c>
      <c r="B1" s="148"/>
      <c r="C1" s="56"/>
      <c r="D1" s="47"/>
      <c r="E1" s="48"/>
      <c r="F1" s="94"/>
      <c r="G1" s="49"/>
      <c r="H1" s="49"/>
      <c r="I1" s="50"/>
      <c r="J1" s="132"/>
      <c r="K1" s="51"/>
      <c r="L1" s="51"/>
    </row>
    <row r="2" spans="1:15" s="170" customFormat="1" ht="18" x14ac:dyDescent="0.4">
      <c r="A2" s="3" t="s">
        <v>825</v>
      </c>
      <c r="B2" s="174"/>
      <c r="C2" s="175"/>
      <c r="D2" s="171"/>
      <c r="E2" s="176"/>
      <c r="F2" s="226"/>
      <c r="G2" s="227"/>
      <c r="H2" s="227"/>
      <c r="I2" s="228"/>
      <c r="J2" s="229"/>
      <c r="K2" s="230"/>
      <c r="L2" s="230"/>
    </row>
    <row r="3" spans="1:15" s="170" customFormat="1" ht="18" x14ac:dyDescent="0.4">
      <c r="A3" s="3" t="s">
        <v>852</v>
      </c>
      <c r="B3" s="174"/>
      <c r="C3" s="175"/>
      <c r="D3" s="171"/>
      <c r="E3" s="176"/>
      <c r="F3" s="226"/>
      <c r="G3" s="227"/>
      <c r="H3" s="227"/>
      <c r="I3" s="228"/>
      <c r="J3" s="229"/>
      <c r="K3" s="230"/>
      <c r="L3" s="230"/>
    </row>
    <row r="4" spans="1:15" s="170" customFormat="1" ht="18" x14ac:dyDescent="0.4">
      <c r="A4" s="3" t="s">
        <v>851</v>
      </c>
      <c r="B4" s="174"/>
      <c r="C4" s="175"/>
      <c r="D4" s="171"/>
      <c r="E4" s="176"/>
      <c r="F4" s="227"/>
      <c r="G4" s="227"/>
      <c r="H4" s="227"/>
      <c r="I4" s="228"/>
      <c r="J4" s="228"/>
      <c r="K4" s="230"/>
      <c r="L4" s="230"/>
      <c r="N4" s="186" t="s">
        <v>749</v>
      </c>
    </row>
    <row r="5" spans="1:15" ht="13" x14ac:dyDescent="0.3">
      <c r="E5" s="106" t="s">
        <v>22</v>
      </c>
      <c r="F5" s="106" t="s">
        <v>22</v>
      </c>
      <c r="G5" s="36" t="s">
        <v>21</v>
      </c>
      <c r="H5" s="36" t="s">
        <v>21</v>
      </c>
      <c r="I5" s="191" t="s">
        <v>780</v>
      </c>
      <c r="N5" s="269">
        <f>'Financial Assumptions'!H8</f>
        <v>2.9899999999999999E-2</v>
      </c>
      <c r="O5" s="177" t="s">
        <v>723</v>
      </c>
    </row>
    <row r="6" spans="1:15" ht="13" x14ac:dyDescent="0.3">
      <c r="A6" s="7"/>
      <c r="B6" s="150"/>
      <c r="C6" s="58"/>
      <c r="D6" s="29" t="s">
        <v>461</v>
      </c>
      <c r="E6" s="30" t="s">
        <v>15</v>
      </c>
      <c r="F6" s="31" t="s">
        <v>16</v>
      </c>
      <c r="H6" s="31" t="s">
        <v>16</v>
      </c>
      <c r="J6" s="32" t="s">
        <v>778</v>
      </c>
      <c r="K6" s="32" t="s">
        <v>16</v>
      </c>
      <c r="L6" s="32" t="s">
        <v>7</v>
      </c>
      <c r="M6" s="8"/>
      <c r="N6" s="269">
        <f>'Financial Assumptions'!H11</f>
        <v>3.0099999999999998E-2</v>
      </c>
      <c r="O6" s="177" t="s">
        <v>724</v>
      </c>
    </row>
    <row r="7" spans="1:15" ht="13" x14ac:dyDescent="0.3">
      <c r="A7" s="16" t="s">
        <v>5</v>
      </c>
      <c r="B7" s="151" t="s">
        <v>459</v>
      </c>
      <c r="C7" s="59" t="s">
        <v>460</v>
      </c>
      <c r="D7" s="38" t="s">
        <v>18</v>
      </c>
      <c r="E7" s="183" t="s">
        <v>19</v>
      </c>
      <c r="F7" s="184" t="s">
        <v>6</v>
      </c>
      <c r="G7" s="184" t="s">
        <v>1</v>
      </c>
      <c r="H7" s="184" t="s">
        <v>20</v>
      </c>
      <c r="I7" s="107" t="s">
        <v>776</v>
      </c>
      <c r="J7" s="107" t="s">
        <v>777</v>
      </c>
      <c r="K7" s="185" t="s">
        <v>17</v>
      </c>
      <c r="L7" s="185" t="s">
        <v>779</v>
      </c>
      <c r="M7" s="8"/>
    </row>
    <row r="8" spans="1:15" s="19" customFormat="1" ht="14" x14ac:dyDescent="0.3">
      <c r="A8" s="39">
        <v>2014</v>
      </c>
      <c r="B8" s="147"/>
      <c r="C8" s="89"/>
      <c r="D8" s="54"/>
      <c r="E8" s="192">
        <v>135518.26</v>
      </c>
      <c r="F8" s="193"/>
      <c r="G8" s="35"/>
      <c r="H8" s="34"/>
      <c r="I8" s="34"/>
      <c r="J8" s="34"/>
      <c r="K8" s="35"/>
      <c r="L8" s="34"/>
      <c r="M8" s="18"/>
      <c r="N8" s="186" t="s">
        <v>750</v>
      </c>
    </row>
    <row r="9" spans="1:15" s="19" customFormat="1" ht="14" x14ac:dyDescent="0.3">
      <c r="A9" s="137">
        <v>2014</v>
      </c>
      <c r="B9" s="152"/>
      <c r="C9" s="60"/>
      <c r="D9" s="55"/>
      <c r="E9" s="194">
        <f>SUBTOTAL(9,E6:E8)</f>
        <v>135518.26</v>
      </c>
      <c r="F9" s="193">
        <f>E9</f>
        <v>135518.26</v>
      </c>
      <c r="G9" s="35"/>
      <c r="H9" s="34">
        <f>G9</f>
        <v>0</v>
      </c>
      <c r="I9" s="34">
        <f>F9-H9</f>
        <v>135518.26</v>
      </c>
      <c r="J9" s="34">
        <f>I9*(IF(F9-H9&gt;0,$N$9,$N$5))</f>
        <v>1714.3059890000002</v>
      </c>
      <c r="K9" s="133">
        <f>(J9)</f>
        <v>1714.3059890000002</v>
      </c>
      <c r="L9" s="34">
        <f>I9+K9</f>
        <v>137232.565989</v>
      </c>
      <c r="M9" s="18"/>
      <c r="N9" s="269">
        <f>'Financial Assumptions'!H14</f>
        <v>1.265E-2</v>
      </c>
    </row>
    <row r="10" spans="1:15" x14ac:dyDescent="0.25">
      <c r="A10" s="39">
        <v>2015</v>
      </c>
      <c r="B10" s="147"/>
      <c r="C10" s="89"/>
      <c r="D10" s="54"/>
      <c r="E10" s="192">
        <v>638712.67000000004</v>
      </c>
      <c r="F10" s="193"/>
      <c r="G10" s="35"/>
      <c r="H10" s="34"/>
      <c r="I10" s="34"/>
      <c r="J10" s="34"/>
      <c r="K10" s="35"/>
      <c r="L10" s="34"/>
      <c r="M10" s="8"/>
    </row>
    <row r="11" spans="1:15" x14ac:dyDescent="0.25">
      <c r="A11" s="137">
        <v>2015</v>
      </c>
      <c r="B11" s="152"/>
      <c r="C11" s="60"/>
      <c r="D11" s="55"/>
      <c r="E11" s="194">
        <f>SUBTOTAL(9,E10)</f>
        <v>638712.67000000004</v>
      </c>
      <c r="F11" s="193">
        <f>F9+E11</f>
        <v>774230.93</v>
      </c>
      <c r="G11" s="35"/>
      <c r="H11" s="34">
        <f>G11</f>
        <v>0</v>
      </c>
      <c r="I11" s="34">
        <f>F11-H11</f>
        <v>774230.93</v>
      </c>
      <c r="J11" s="34">
        <f>I11*(IF(L9&gt;0,$N$9,$N$5))</f>
        <v>9794.0212645000011</v>
      </c>
      <c r="K11" s="133">
        <f>(1+(IF(L9&gt;0,$N$9,$N$6)))*K9+J11</f>
        <v>11530.013224260851</v>
      </c>
      <c r="L11" s="34">
        <f>I11+K11</f>
        <v>785760.94322426093</v>
      </c>
      <c r="M11" s="8"/>
    </row>
    <row r="12" spans="1:15" x14ac:dyDescent="0.25">
      <c r="A12" s="39">
        <v>2016</v>
      </c>
      <c r="B12" s="147"/>
      <c r="C12" s="89"/>
      <c r="D12" s="54"/>
      <c r="E12" s="192">
        <v>471308.5</v>
      </c>
      <c r="F12" s="193"/>
      <c r="G12" s="35"/>
      <c r="H12" s="34"/>
      <c r="I12" s="34"/>
      <c r="J12" s="34"/>
      <c r="K12" s="35"/>
      <c r="L12" s="34"/>
      <c r="M12" s="8"/>
    </row>
    <row r="13" spans="1:15" x14ac:dyDescent="0.25">
      <c r="A13" s="137">
        <v>2016</v>
      </c>
      <c r="B13" s="152"/>
      <c r="C13" s="60"/>
      <c r="D13" s="55"/>
      <c r="E13" s="194">
        <f>SUBTOTAL(9,E12)</f>
        <v>471308.5</v>
      </c>
      <c r="F13" s="193">
        <f>F11+E13</f>
        <v>1245539.4300000002</v>
      </c>
      <c r="G13" s="35"/>
      <c r="H13" s="34">
        <f>G13</f>
        <v>0</v>
      </c>
      <c r="I13" s="34">
        <f>F13-H13</f>
        <v>1245539.4300000002</v>
      </c>
      <c r="J13" s="34">
        <f>I13*(IF(L11&gt;0,$N$9,$N$5))</f>
        <v>15756.073789500002</v>
      </c>
      <c r="K13" s="133">
        <f>(1+(IF(L11&gt;0,$N$9,$N$6)))*K11+J13</f>
        <v>27431.941681047752</v>
      </c>
      <c r="L13" s="34">
        <f>I13+K13</f>
        <v>1272971.3716810478</v>
      </c>
      <c r="M13" s="8"/>
    </row>
    <row r="14" spans="1:15" x14ac:dyDescent="0.25">
      <c r="A14" s="39">
        <v>2017</v>
      </c>
      <c r="B14" s="147"/>
      <c r="C14" s="89"/>
      <c r="D14" s="54"/>
      <c r="E14" s="192">
        <v>1085707.78</v>
      </c>
      <c r="F14" s="193"/>
      <c r="G14" s="35"/>
      <c r="H14" s="34"/>
      <c r="I14" s="34"/>
      <c r="J14" s="34"/>
      <c r="K14" s="35"/>
      <c r="L14" s="34"/>
      <c r="M14" s="8"/>
    </row>
    <row r="15" spans="1:15" x14ac:dyDescent="0.25">
      <c r="A15" s="137">
        <v>2017</v>
      </c>
      <c r="B15" s="152"/>
      <c r="C15" s="60"/>
      <c r="D15" s="55"/>
      <c r="E15" s="194">
        <f>SUBTOTAL(9,E14)</f>
        <v>1085707.78</v>
      </c>
      <c r="F15" s="193">
        <f>F13+E15</f>
        <v>2331247.21</v>
      </c>
      <c r="G15" s="35"/>
      <c r="H15" s="34">
        <f>G15</f>
        <v>0</v>
      </c>
      <c r="I15" s="34">
        <f>F15-H15</f>
        <v>2331247.21</v>
      </c>
      <c r="J15" s="34">
        <f>I15*(IF(L13&gt;0,$N$9,$N$5))</f>
        <v>29490.277206499999</v>
      </c>
      <c r="K15" s="133">
        <f>(1+(IF(L13&gt;0,$N$9,$N$6)))*K13+J15</f>
        <v>57269.232949813006</v>
      </c>
      <c r="L15" s="34">
        <f>I15+K15</f>
        <v>2388516.4429498129</v>
      </c>
      <c r="M15" s="8"/>
    </row>
    <row r="16" spans="1:15" x14ac:dyDescent="0.25">
      <c r="A16" s="39">
        <v>2018</v>
      </c>
      <c r="B16" s="147"/>
      <c r="C16" s="89"/>
      <c r="D16" s="54"/>
      <c r="E16" s="192">
        <v>888217.36</v>
      </c>
      <c r="F16" s="193"/>
      <c r="G16" s="35"/>
      <c r="H16" s="34"/>
      <c r="I16" s="34"/>
      <c r="J16" s="34"/>
      <c r="K16" s="35"/>
      <c r="L16" s="34"/>
      <c r="M16" s="8"/>
    </row>
    <row r="17" spans="1:13" x14ac:dyDescent="0.25">
      <c r="A17" s="137">
        <v>2018</v>
      </c>
      <c r="B17" s="152"/>
      <c r="C17" s="60"/>
      <c r="D17" s="55"/>
      <c r="E17" s="194">
        <f>SUBTOTAL(9,E16)</f>
        <v>888217.36</v>
      </c>
      <c r="F17" s="193">
        <f>F15+E17</f>
        <v>3219464.57</v>
      </c>
      <c r="G17" s="35"/>
      <c r="H17" s="34">
        <f>G17</f>
        <v>0</v>
      </c>
      <c r="I17" s="34">
        <f>F17-H17</f>
        <v>3219464.57</v>
      </c>
      <c r="J17" s="34">
        <f>I17*(IF(L15&gt;0,$N$9,$N$5))</f>
        <v>40726.226810499997</v>
      </c>
      <c r="K17" s="133">
        <f>(1+(IF(L15&gt;0,$N$9,$N$6)))*K15+J17</f>
        <v>98719.915557128144</v>
      </c>
      <c r="L17" s="34">
        <f>I17+K17</f>
        <v>3318184.4855571277</v>
      </c>
      <c r="M17" s="8"/>
    </row>
    <row r="18" spans="1:13" x14ac:dyDescent="0.25">
      <c r="A18" s="39">
        <v>2019</v>
      </c>
      <c r="B18" s="147">
        <f>'Population Projections'!$F$5/5</f>
        <v>472.8</v>
      </c>
      <c r="C18" s="89" t="s">
        <v>444</v>
      </c>
      <c r="D18" s="54">
        <f>VLOOKUP(A18,'Escalation Factors'!$E$17:$F$44,2,FALSE)</f>
        <v>1</v>
      </c>
      <c r="E18" s="102">
        <f>B18*D18*'Water - Charge'!$D$40</f>
        <v>790535.09713252995</v>
      </c>
      <c r="F18" s="103"/>
      <c r="G18" s="34"/>
      <c r="H18" s="34"/>
      <c r="I18" s="34"/>
      <c r="J18" s="34"/>
      <c r="K18" s="35"/>
      <c r="L18" s="34"/>
      <c r="M18" s="8"/>
    </row>
    <row r="19" spans="1:13" x14ac:dyDescent="0.25">
      <c r="A19" s="39">
        <v>2019</v>
      </c>
      <c r="B19" s="147">
        <f>'Population Projections'!$G$5/5</f>
        <v>1345.6</v>
      </c>
      <c r="C19" s="89" t="s">
        <v>445</v>
      </c>
      <c r="D19" s="54">
        <f>VLOOKUP(A19,'Escalation Factors'!$E$17:$F$44,2,FALSE)</f>
        <v>1</v>
      </c>
      <c r="E19" s="102">
        <f>B19*D19*'Water - Charge'!$D$42</f>
        <v>1511114.5163007597</v>
      </c>
      <c r="F19" s="103"/>
      <c r="G19" s="34"/>
      <c r="H19" s="34"/>
      <c r="I19" s="34"/>
      <c r="J19" s="34"/>
      <c r="K19" s="35"/>
      <c r="L19" s="34"/>
      <c r="M19" s="8"/>
    </row>
    <row r="20" spans="1:13" x14ac:dyDescent="0.25">
      <c r="A20" s="39">
        <v>2019</v>
      </c>
      <c r="B20" s="147">
        <f>'Population Projections'!$J$5/5</f>
        <v>1746202.6</v>
      </c>
      <c r="C20" s="89" t="s">
        <v>446</v>
      </c>
      <c r="D20" s="54">
        <f>VLOOKUP(A20,'Escalation Factors'!$E$17:$F$44,2,FALSE)</f>
        <v>1</v>
      </c>
      <c r="E20" s="102">
        <f>B20*D20*'Water - Charge'!$D$48</f>
        <v>1338721.1728586031</v>
      </c>
      <c r="F20" s="103"/>
      <c r="G20" s="35"/>
      <c r="H20" s="34"/>
      <c r="I20" s="34"/>
      <c r="J20" s="34"/>
      <c r="K20" s="35"/>
      <c r="L20" s="34"/>
      <c r="M20" s="8"/>
    </row>
    <row r="21" spans="1:13" x14ac:dyDescent="0.25">
      <c r="A21" s="137">
        <v>2019</v>
      </c>
      <c r="B21" s="152"/>
      <c r="C21" s="60"/>
      <c r="D21" s="55"/>
      <c r="E21" s="101">
        <f>SUBTOTAL(9,E18:E20)</f>
        <v>3640370.7862918926</v>
      </c>
      <c r="F21" s="103">
        <f>F17+E21</f>
        <v>6859835.356291892</v>
      </c>
      <c r="G21" s="35">
        <f>'Water - Phase Costs'!$O$28/2</f>
        <v>3275557.6148419478</v>
      </c>
      <c r="H21" s="34">
        <f>G21</f>
        <v>3275557.6148419478</v>
      </c>
      <c r="I21" s="34">
        <f>F21-H21</f>
        <v>3584277.7414499442</v>
      </c>
      <c r="J21" s="34">
        <f>I21*(IF(L17&gt;0,$N$9,$N$6))</f>
        <v>45341.113429341793</v>
      </c>
      <c r="K21" s="133">
        <f>(1+(IF(L17&gt;0,$N$9,$N$6)))*K17+J21</f>
        <v>145309.83591826761</v>
      </c>
      <c r="L21" s="34">
        <f>I21+K21</f>
        <v>3729587.5773682119</v>
      </c>
      <c r="M21" s="8"/>
    </row>
    <row r="22" spans="1:13" x14ac:dyDescent="0.25">
      <c r="A22" s="39">
        <v>2020</v>
      </c>
      <c r="B22" s="147">
        <f>'Population Projections'!$F$5/5</f>
        <v>472.8</v>
      </c>
      <c r="C22" s="89" t="s">
        <v>444</v>
      </c>
      <c r="D22" s="54">
        <f>VLOOKUP(A22,'Escalation Factors'!$E$17:$F$44,2,FALSE)</f>
        <v>1.0149999999999999</v>
      </c>
      <c r="E22" s="102">
        <f>B22*D22*'Water - Charge'!$D$40</f>
        <v>802393.12358951778</v>
      </c>
      <c r="F22" s="103"/>
      <c r="G22" s="35"/>
      <c r="H22" s="34"/>
      <c r="I22" s="34"/>
      <c r="J22" s="34"/>
      <c r="K22" s="35"/>
      <c r="L22" s="34"/>
      <c r="M22" s="8"/>
    </row>
    <row r="23" spans="1:13" x14ac:dyDescent="0.25">
      <c r="A23" s="39">
        <v>2020</v>
      </c>
      <c r="B23" s="147">
        <f>'Population Projections'!$G$5/5</f>
        <v>1345.6</v>
      </c>
      <c r="C23" s="89" t="s">
        <v>445</v>
      </c>
      <c r="D23" s="54">
        <f>VLOOKUP(A23,'Escalation Factors'!$E$17:$F$44,2,FALSE)</f>
        <v>1.0149999999999999</v>
      </c>
      <c r="E23" s="102">
        <f>B23*D23*'Water - Charge'!$D$42</f>
        <v>1533781.2340452711</v>
      </c>
      <c r="F23" s="103"/>
      <c r="G23" s="35"/>
      <c r="H23" s="34"/>
      <c r="I23" s="34"/>
      <c r="J23" s="34"/>
      <c r="K23" s="35"/>
      <c r="L23" s="34"/>
      <c r="M23" s="8"/>
    </row>
    <row r="24" spans="1:13" x14ac:dyDescent="0.25">
      <c r="A24" s="39">
        <v>2020</v>
      </c>
      <c r="B24" s="147">
        <f>'Population Projections'!$J$5/5</f>
        <v>1746202.6</v>
      </c>
      <c r="C24" s="89" t="s">
        <v>446</v>
      </c>
      <c r="D24" s="54">
        <f>VLOOKUP(A24,'Escalation Factors'!$E$17:$F$44,2,FALSE)</f>
        <v>1.0149999999999999</v>
      </c>
      <c r="E24" s="102">
        <f>B24*D24*'Water - Charge'!$D$48</f>
        <v>1358801.9904514819</v>
      </c>
      <c r="F24" s="103"/>
      <c r="G24" s="35"/>
      <c r="H24" s="34"/>
      <c r="I24" s="34"/>
      <c r="J24" s="34"/>
      <c r="K24" s="35"/>
      <c r="L24" s="34"/>
      <c r="M24" s="8"/>
    </row>
    <row r="25" spans="1:13" x14ac:dyDescent="0.25">
      <c r="A25" s="137">
        <v>2020</v>
      </c>
      <c r="B25" s="152"/>
      <c r="C25" s="60"/>
      <c r="D25" s="55"/>
      <c r="E25" s="101">
        <f>SUBTOTAL(9,E22:E24)</f>
        <v>3694976.3480862705</v>
      </c>
      <c r="F25" s="103">
        <f>F21+E25</f>
        <v>10554811.704378162</v>
      </c>
      <c r="G25" s="35">
        <f>'Water - Phase Costs'!$O$28/2</f>
        <v>3275557.6148419478</v>
      </c>
      <c r="H25" s="34">
        <f>G25+H21</f>
        <v>6551115.2296838956</v>
      </c>
      <c r="I25" s="34">
        <f>F25-H25</f>
        <v>4003696.474694266</v>
      </c>
      <c r="J25" s="34">
        <f>I25*(IF(L21&gt;0,$N$9,$N$6))</f>
        <v>50646.760404882465</v>
      </c>
      <c r="K25" s="133">
        <f>(1+(IF(L21&gt;0,$N$9,$N$6)))*K21+J25</f>
        <v>197794.76574751615</v>
      </c>
      <c r="L25" s="34">
        <f>I25+K25</f>
        <v>4201491.2404417824</v>
      </c>
      <c r="M25" s="8"/>
    </row>
    <row r="26" spans="1:13" x14ac:dyDescent="0.25">
      <c r="A26" s="39">
        <v>2021</v>
      </c>
      <c r="B26" s="147">
        <f>'Population Projections'!$F$6/5</f>
        <v>499.4</v>
      </c>
      <c r="C26" s="89" t="s">
        <v>444</v>
      </c>
      <c r="D26" s="54">
        <f>VLOOKUP(A26,'Escalation Factors'!$E$17:$F$44,2,FALSE)</f>
        <v>1.0309888100694617</v>
      </c>
      <c r="E26" s="102">
        <f>B26*D26*'Water - Charge'!$D$40</f>
        <v>860887.05552440824</v>
      </c>
      <c r="F26" s="103"/>
      <c r="G26" s="35"/>
      <c r="H26" s="34"/>
      <c r="I26" s="34"/>
      <c r="J26" s="34"/>
      <c r="K26" s="133"/>
      <c r="L26" s="34"/>
      <c r="M26" s="8"/>
    </row>
    <row r="27" spans="1:13" x14ac:dyDescent="0.25">
      <c r="A27" s="39">
        <v>2021</v>
      </c>
      <c r="B27" s="147">
        <f>'Population Projections'!$G$6/5</f>
        <v>1421.6</v>
      </c>
      <c r="C27" s="89" t="s">
        <v>445</v>
      </c>
      <c r="D27" s="54">
        <f>VLOOKUP(A27,'Escalation Factors'!$E$17:$F$44,2,FALSE)</f>
        <v>1.0309888100694617</v>
      </c>
      <c r="E27" s="102">
        <f>B27*D27*'Water - Charge'!$D$42</f>
        <v>1645935.3228652722</v>
      </c>
      <c r="F27" s="103"/>
      <c r="G27" s="35"/>
      <c r="H27" s="34"/>
      <c r="I27" s="34"/>
      <c r="J27" s="34"/>
      <c r="K27" s="133"/>
      <c r="L27" s="34"/>
      <c r="M27" s="8"/>
    </row>
    <row r="28" spans="1:13" x14ac:dyDescent="0.25">
      <c r="A28" s="39">
        <v>2021</v>
      </c>
      <c r="B28" s="147">
        <f>'Population Projections'!$J$6/5</f>
        <v>1844778.6</v>
      </c>
      <c r="C28" s="89" t="s">
        <v>446</v>
      </c>
      <c r="D28" s="54">
        <f>VLOOKUP(A28,'Escalation Factors'!$E$17:$F$44,2,FALSE)</f>
        <v>1.0309888100694617</v>
      </c>
      <c r="E28" s="102">
        <f>B28*D28*'Water - Charge'!$D$48</f>
        <v>1458121.4718226129</v>
      </c>
      <c r="F28" s="103"/>
      <c r="G28" s="35"/>
      <c r="H28" s="34"/>
      <c r="I28" s="34"/>
      <c r="J28" s="34"/>
      <c r="K28" s="35"/>
      <c r="L28" s="34"/>
      <c r="M28" s="8"/>
    </row>
    <row r="29" spans="1:13" x14ac:dyDescent="0.25">
      <c r="A29" s="137">
        <v>2021</v>
      </c>
      <c r="B29" s="152"/>
      <c r="C29" s="60"/>
      <c r="D29" s="55"/>
      <c r="E29" s="101">
        <f>SUBTOTAL(9,E26:E28)</f>
        <v>3964943.8502122932</v>
      </c>
      <c r="F29" s="103">
        <f>F25+E29</f>
        <v>14519755.554590454</v>
      </c>
      <c r="G29" s="35">
        <f>'Water - Phase Costs'!$O$46/5</f>
        <v>2154152.0426344993</v>
      </c>
      <c r="H29" s="34">
        <f>G29+H25</f>
        <v>8705267.2723183949</v>
      </c>
      <c r="I29" s="34">
        <f>F29-H29</f>
        <v>5814488.2822720595</v>
      </c>
      <c r="J29" s="34">
        <f>I29*(IF(L25&gt;0,$N$9,$N$6))</f>
        <v>73553.276770741548</v>
      </c>
      <c r="K29" s="133">
        <f>(1+(IF(L25&gt;0,$N$9,$N$6)))*K25+J29</f>
        <v>273850.1463049638</v>
      </c>
      <c r="L29" s="34">
        <f>I29+K29</f>
        <v>6088338.4285770236</v>
      </c>
      <c r="M29" s="8"/>
    </row>
    <row r="30" spans="1:13" x14ac:dyDescent="0.25">
      <c r="A30" s="39">
        <v>2022</v>
      </c>
      <c r="B30" s="147">
        <f>'Population Projections'!$F$6/5</f>
        <v>499.4</v>
      </c>
      <c r="C30" s="89" t="s">
        <v>444</v>
      </c>
      <c r="D30" s="54">
        <f>VLOOKUP(A30,'Escalation Factors'!$E$17:$F$44,2,FALSE)</f>
        <v>1.0468414913481519</v>
      </c>
      <c r="E30" s="102">
        <f>B30*D30*'Water - Charge'!$D$40</f>
        <v>874124.21966711013</v>
      </c>
      <c r="F30" s="103"/>
      <c r="G30" s="35"/>
      <c r="H30" s="34"/>
      <c r="I30" s="34"/>
      <c r="J30" s="34"/>
      <c r="K30" s="133"/>
      <c r="L30" s="34"/>
      <c r="M30" s="8"/>
    </row>
    <row r="31" spans="1:13" x14ac:dyDescent="0.25">
      <c r="A31" s="39">
        <v>2022</v>
      </c>
      <c r="B31" s="147">
        <f>'Population Projections'!$G$6/5</f>
        <v>1421.6</v>
      </c>
      <c r="C31" s="89" t="s">
        <v>445</v>
      </c>
      <c r="D31" s="54">
        <f>VLOOKUP(A31,'Escalation Factors'!$E$17:$F$44,2,FALSE)</f>
        <v>1.0468414913481519</v>
      </c>
      <c r="E31" s="102">
        <f>B31*D31*'Water - Charge'!$D$42</f>
        <v>1671243.5394277419</v>
      </c>
      <c r="F31" s="103"/>
      <c r="G31" s="35"/>
      <c r="H31" s="34"/>
      <c r="I31" s="34"/>
      <c r="J31" s="34"/>
      <c r="K31" s="133"/>
      <c r="L31" s="34"/>
      <c r="M31" s="8"/>
    </row>
    <row r="32" spans="1:13" x14ac:dyDescent="0.25">
      <c r="A32" s="39">
        <v>2022</v>
      </c>
      <c r="B32" s="147">
        <f>'Population Projections'!$J$6/5</f>
        <v>1844778.6</v>
      </c>
      <c r="C32" s="89" t="s">
        <v>446</v>
      </c>
      <c r="D32" s="54">
        <f>VLOOKUP(A32,'Escalation Factors'!$E$17:$F$44,2,FALSE)</f>
        <v>1.0468414913481519</v>
      </c>
      <c r="E32" s="102">
        <f>B32*D32*'Water - Charge'!$D$48</f>
        <v>1480541.8266631868</v>
      </c>
      <c r="F32" s="103"/>
      <c r="G32" s="35"/>
      <c r="H32" s="34"/>
      <c r="I32" s="34"/>
      <c r="J32" s="34"/>
      <c r="K32" s="35"/>
      <c r="L32" s="34"/>
      <c r="M32" s="8"/>
    </row>
    <row r="33" spans="1:13" x14ac:dyDescent="0.25">
      <c r="A33" s="137">
        <v>2022</v>
      </c>
      <c r="B33" s="152"/>
      <c r="C33" s="60"/>
      <c r="D33" s="55"/>
      <c r="E33" s="101">
        <f>SUBTOTAL(9,E30:E32)</f>
        <v>4025909.5857580388</v>
      </c>
      <c r="F33" s="103">
        <f>F29+E33</f>
        <v>18545665.140348494</v>
      </c>
      <c r="G33" s="35">
        <f>'Water - Phase Costs'!$O$46/5</f>
        <v>2154152.0426344993</v>
      </c>
      <c r="H33" s="34">
        <f>G33+H29</f>
        <v>10859419.314952895</v>
      </c>
      <c r="I33" s="34">
        <f>F33-H33</f>
        <v>7686245.825395599</v>
      </c>
      <c r="J33" s="34">
        <f>I33*(IF(L29&gt;0,$N$9,$N$6))</f>
        <v>97231.009691254323</v>
      </c>
      <c r="K33" s="133">
        <f>(1+(IF(L29&gt;0,$N$9,$N$6)))*K29+J33</f>
        <v>374545.36034697597</v>
      </c>
      <c r="L33" s="34">
        <f>I33+K33</f>
        <v>8060791.1857425747</v>
      </c>
      <c r="M33" s="8"/>
    </row>
    <row r="34" spans="1:13" x14ac:dyDescent="0.25">
      <c r="A34" s="39">
        <v>2023</v>
      </c>
      <c r="B34" s="147">
        <f>'Population Projections'!$F$6/5</f>
        <v>499.4</v>
      </c>
      <c r="C34" s="89" t="s">
        <v>444</v>
      </c>
      <c r="D34" s="54">
        <f>VLOOKUP(A34,'Escalation Factors'!$E$17:$F$44,2,FALSE)</f>
        <v>1.0629379264884447</v>
      </c>
      <c r="E34" s="102">
        <f>B34*D34*'Water - Charge'!$D$40</f>
        <v>887564.92097931227</v>
      </c>
      <c r="F34" s="103"/>
      <c r="G34" s="35"/>
      <c r="H34" s="34"/>
      <c r="I34" s="34"/>
      <c r="J34" s="34"/>
      <c r="K34" s="133"/>
      <c r="L34" s="34"/>
      <c r="M34" s="8"/>
    </row>
    <row r="35" spans="1:13" x14ac:dyDescent="0.25">
      <c r="A35" s="39">
        <v>2023</v>
      </c>
      <c r="B35" s="147">
        <f>'Population Projections'!$G$6/5</f>
        <v>1421.6</v>
      </c>
      <c r="C35" s="89" t="s">
        <v>445</v>
      </c>
      <c r="D35" s="54">
        <f>VLOOKUP(A35,'Escalation Factors'!$E$17:$F$44,2,FALSE)</f>
        <v>1.0629379264884447</v>
      </c>
      <c r="E35" s="102">
        <f>B35*D35*'Water - Charge'!$D$42</f>
        <v>1696940.8999721622</v>
      </c>
      <c r="F35" s="103"/>
      <c r="G35" s="35"/>
      <c r="H35" s="34"/>
      <c r="I35" s="34"/>
      <c r="J35" s="34"/>
      <c r="K35" s="133"/>
      <c r="L35" s="34"/>
      <c r="M35" s="8"/>
    </row>
    <row r="36" spans="1:13" x14ac:dyDescent="0.25">
      <c r="A36" s="39">
        <v>2023</v>
      </c>
      <c r="B36" s="147">
        <f>'Population Projections'!$J$6/5</f>
        <v>1844778.6</v>
      </c>
      <c r="C36" s="89" t="s">
        <v>446</v>
      </c>
      <c r="D36" s="54">
        <f>VLOOKUP(A36,'Escalation Factors'!$E$17:$F$44,2,FALSE)</f>
        <v>1.0629379264884447</v>
      </c>
      <c r="E36" s="102">
        <f>B36*D36*'Water - Charge'!$D$48</f>
        <v>1503306.9211711276</v>
      </c>
      <c r="F36" s="103"/>
      <c r="G36" s="35"/>
      <c r="H36" s="34"/>
      <c r="I36" s="34"/>
      <c r="J36" s="34"/>
      <c r="K36" s="35"/>
      <c r="L36" s="34"/>
      <c r="M36" s="8"/>
    </row>
    <row r="37" spans="1:13" x14ac:dyDescent="0.25">
      <c r="A37" s="137">
        <v>2023</v>
      </c>
      <c r="B37" s="152"/>
      <c r="C37" s="60"/>
      <c r="D37" s="55"/>
      <c r="E37" s="101">
        <f>SUBTOTAL(9,E34:E36)</f>
        <v>4087812.7421226017</v>
      </c>
      <c r="F37" s="103">
        <f>F33+E37</f>
        <v>22633477.882471096</v>
      </c>
      <c r="G37" s="35">
        <f>'Water - Phase Costs'!$O$46/5</f>
        <v>2154152.0426344993</v>
      </c>
      <c r="H37" s="34">
        <f>G37+H33</f>
        <v>13013571.357587393</v>
      </c>
      <c r="I37" s="34">
        <f>F37-H37</f>
        <v>9619906.5248837024</v>
      </c>
      <c r="J37" s="34">
        <f>I37*(IF(L33&gt;0,$N$9,$N$6))</f>
        <v>121691.81753977883</v>
      </c>
      <c r="K37" s="133">
        <f>(1+(IF(L33&gt;0,$N$9,$N$6)))*K33+J37</f>
        <v>500975.17669514404</v>
      </c>
      <c r="L37" s="34">
        <f>I37+K37</f>
        <v>10120881.701578846</v>
      </c>
      <c r="M37" s="8"/>
    </row>
    <row r="38" spans="1:13" x14ac:dyDescent="0.25">
      <c r="A38" s="39">
        <v>2024</v>
      </c>
      <c r="B38" s="147">
        <f>'Population Projections'!$F$6/5</f>
        <v>499.4</v>
      </c>
      <c r="C38" s="89" t="s">
        <v>444</v>
      </c>
      <c r="D38" s="54">
        <f>VLOOKUP(A38,'Escalation Factors'!$E$17:$F$44,2,FALSE)</f>
        <v>1.0792818634963717</v>
      </c>
      <c r="E38" s="102">
        <f>B38*D38*'Water - Charge'!$D$40</f>
        <v>901212.28908749053</v>
      </c>
      <c r="F38" s="103"/>
      <c r="G38" s="35"/>
      <c r="H38" s="34"/>
      <c r="I38" s="34"/>
      <c r="J38" s="34"/>
      <c r="K38" s="133"/>
      <c r="L38" s="34"/>
      <c r="M38" s="8"/>
    </row>
    <row r="39" spans="1:13" x14ac:dyDescent="0.25">
      <c r="A39" s="39">
        <v>2024</v>
      </c>
      <c r="B39" s="147">
        <f>'Population Projections'!$G$6/5</f>
        <v>1421.6</v>
      </c>
      <c r="C39" s="89" t="s">
        <v>445</v>
      </c>
      <c r="D39" s="54">
        <f>VLOOKUP(A39,'Escalation Factors'!$E$17:$F$44,2,FALSE)</f>
        <v>1.0792818634963717</v>
      </c>
      <c r="E39" s="102">
        <f>B39*D39*'Water - Charge'!$D$42</f>
        <v>1723033.3880508833</v>
      </c>
      <c r="F39" s="103"/>
      <c r="G39" s="35"/>
      <c r="H39" s="34"/>
      <c r="I39" s="34"/>
      <c r="J39" s="34"/>
      <c r="K39" s="133"/>
      <c r="L39" s="34"/>
      <c r="M39" s="8"/>
    </row>
    <row r="40" spans="1:13" x14ac:dyDescent="0.25">
      <c r="A40" s="39">
        <v>2024</v>
      </c>
      <c r="B40" s="147">
        <f>'Population Projections'!$J$6/5</f>
        <v>1844778.6</v>
      </c>
      <c r="C40" s="89" t="s">
        <v>446</v>
      </c>
      <c r="D40" s="54">
        <f>VLOOKUP(A40,'Escalation Factors'!$E$17:$F$44,2,FALSE)</f>
        <v>1.0792818634963717</v>
      </c>
      <c r="E40" s="102">
        <f>B40*D40*'Water - Charge'!$D$48</f>
        <v>1526422.0561295461</v>
      </c>
      <c r="F40" s="103"/>
      <c r="G40" s="35"/>
      <c r="H40" s="34"/>
      <c r="I40" s="34"/>
      <c r="J40" s="34"/>
      <c r="K40" s="35"/>
      <c r="L40" s="34"/>
      <c r="M40" s="8"/>
    </row>
    <row r="41" spans="1:13" x14ac:dyDescent="0.25">
      <c r="A41" s="137">
        <v>2024</v>
      </c>
      <c r="B41" s="152"/>
      <c r="C41" s="60"/>
      <c r="D41" s="55"/>
      <c r="E41" s="101">
        <f>SUBTOTAL(9,E38:E40)</f>
        <v>4150667.7332679201</v>
      </c>
      <c r="F41" s="103">
        <f>F37+E41</f>
        <v>26784145.615739018</v>
      </c>
      <c r="G41" s="35">
        <f>'Water - Phase Costs'!$O$46/5</f>
        <v>2154152.0426344993</v>
      </c>
      <c r="H41" s="34">
        <f>G41+H37</f>
        <v>15167723.400221892</v>
      </c>
      <c r="I41" s="34">
        <f>F41-H41</f>
        <v>11616422.215517126</v>
      </c>
      <c r="J41" s="34">
        <f>I41*(IF(L37&gt;0,$N$9,$N$6))</f>
        <v>146947.74102629165</v>
      </c>
      <c r="K41" s="133">
        <f>(1+(IF(L37&gt;0,$N$9,$N$6)))*K37+J41</f>
        <v>654260.25370662927</v>
      </c>
      <c r="L41" s="34">
        <f>I41+K41</f>
        <v>12270682.469223754</v>
      </c>
      <c r="M41" s="8"/>
    </row>
    <row r="42" spans="1:13" x14ac:dyDescent="0.25">
      <c r="A42" s="39">
        <v>2025</v>
      </c>
      <c r="B42" s="147">
        <f>'Population Projections'!$F$6/5</f>
        <v>499.4</v>
      </c>
      <c r="C42" s="89" t="s">
        <v>444</v>
      </c>
      <c r="D42" s="54">
        <f>VLOOKUP(A42,'Escalation Factors'!$E$17:$F$44,2,FALSE)</f>
        <v>1.0958771080080225</v>
      </c>
      <c r="E42" s="102">
        <f>B42*D42*'Water - Charge'!$D$40</f>
        <v>915069.50173985679</v>
      </c>
      <c r="F42" s="103"/>
      <c r="G42" s="35"/>
      <c r="H42" s="34"/>
      <c r="I42" s="34"/>
      <c r="J42" s="34"/>
      <c r="K42" s="133"/>
      <c r="L42" s="34"/>
      <c r="M42" s="8"/>
    </row>
    <row r="43" spans="1:13" x14ac:dyDescent="0.25">
      <c r="A43" s="39">
        <v>2025</v>
      </c>
      <c r="B43" s="147">
        <f>'Population Projections'!$G$6/5</f>
        <v>1421.6</v>
      </c>
      <c r="C43" s="89" t="s">
        <v>445</v>
      </c>
      <c r="D43" s="54">
        <f>VLOOKUP(A43,'Escalation Factors'!$E$17:$F$44,2,FALSE)</f>
        <v>1.0958771080080225</v>
      </c>
      <c r="E43" s="102">
        <f>B43*D43*'Water - Charge'!$D$42</f>
        <v>1749527.079220501</v>
      </c>
      <c r="F43" s="103"/>
      <c r="G43" s="35"/>
      <c r="H43" s="34"/>
      <c r="I43" s="34"/>
      <c r="J43" s="34"/>
      <c r="K43" s="133"/>
      <c r="L43" s="34"/>
      <c r="M43" s="8"/>
    </row>
    <row r="44" spans="1:13" x14ac:dyDescent="0.25">
      <c r="A44" s="39">
        <v>2025</v>
      </c>
      <c r="B44" s="147">
        <f>'Population Projections'!$J$6/5</f>
        <v>1844778.6</v>
      </c>
      <c r="C44" s="89" t="s">
        <v>446</v>
      </c>
      <c r="D44" s="54">
        <f>VLOOKUP(A44,'Escalation Factors'!$E$17:$F$44,2,FALSE)</f>
        <v>1.0958771080080225</v>
      </c>
      <c r="E44" s="102">
        <f>B44*D44*'Water - Charge'!$D$48</f>
        <v>1549892.6138274071</v>
      </c>
      <c r="F44" s="103"/>
      <c r="G44" s="35"/>
      <c r="H44" s="34"/>
      <c r="I44" s="34"/>
      <c r="J44" s="34"/>
      <c r="K44" s="133"/>
      <c r="L44" s="34"/>
      <c r="M44" s="8"/>
    </row>
    <row r="45" spans="1:13" x14ac:dyDescent="0.25">
      <c r="A45" s="137">
        <v>2025</v>
      </c>
      <c r="B45" s="152"/>
      <c r="C45" s="60"/>
      <c r="D45" s="55"/>
      <c r="E45" s="101">
        <f>SUBTOTAL(9,E42:E44)</f>
        <v>4214489.1947877649</v>
      </c>
      <c r="F45" s="103">
        <f>F41+E45</f>
        <v>30998634.810526781</v>
      </c>
      <c r="G45" s="35">
        <f>'Water - Phase Costs'!$O$46/5</f>
        <v>2154152.0426344993</v>
      </c>
      <c r="H45" s="34">
        <f>G45+H41</f>
        <v>17321875.44285639</v>
      </c>
      <c r="I45" s="34">
        <f>F45-H45</f>
        <v>13676759.367670391</v>
      </c>
      <c r="J45" s="34">
        <f>I45*(IF(L41&gt;0,$N$9,$N$6))</f>
        <v>173011.00600103044</v>
      </c>
      <c r="K45" s="133">
        <f>(1+(IF(L41&gt;0,$N$9,$N$6)))*K41+J45</f>
        <v>835547.65191704861</v>
      </c>
      <c r="L45" s="34">
        <f>I45+K45</f>
        <v>14512307.019587439</v>
      </c>
      <c r="M45" s="8"/>
    </row>
    <row r="46" spans="1:13" x14ac:dyDescent="0.25">
      <c r="A46" s="39">
        <v>2026</v>
      </c>
      <c r="B46" s="147">
        <f>'Population Projections'!$F$7/5</f>
        <v>540.6</v>
      </c>
      <c r="C46" s="89" t="s">
        <v>444</v>
      </c>
      <c r="D46" s="54">
        <f>VLOOKUP(A46,'Escalation Factors'!$E$17:$F$44,2,FALSE)</f>
        <v>1.1127275241756756</v>
      </c>
      <c r="E46" s="102">
        <f>B46*D46*'Water - Charge'!$D$40</f>
        <v>1005792.8875977637</v>
      </c>
      <c r="F46" s="103"/>
      <c r="G46" s="35"/>
      <c r="H46" s="34"/>
      <c r="I46" s="34"/>
      <c r="J46" s="34"/>
      <c r="K46" s="133"/>
      <c r="L46" s="34"/>
      <c r="M46" s="8"/>
    </row>
    <row r="47" spans="1:13" x14ac:dyDescent="0.25">
      <c r="A47" s="39">
        <v>2026</v>
      </c>
      <c r="B47" s="147">
        <f>'Population Projections'!$G$7/5</f>
        <v>1539</v>
      </c>
      <c r="C47" s="89" t="s">
        <v>445</v>
      </c>
      <c r="D47" s="54">
        <f>VLOOKUP(A47,'Escalation Factors'!$E$17:$F$44,2,FALSE)</f>
        <v>1.1127275241756756</v>
      </c>
      <c r="E47" s="102">
        <f>B47*D47*'Water - Charge'!$D$42</f>
        <v>1923130.9167421248</v>
      </c>
      <c r="F47" s="103"/>
      <c r="G47" s="35"/>
      <c r="H47" s="34"/>
      <c r="I47" s="34"/>
      <c r="J47" s="34"/>
      <c r="K47" s="133"/>
      <c r="L47" s="34"/>
      <c r="M47" s="8"/>
    </row>
    <row r="48" spans="1:13" x14ac:dyDescent="0.25">
      <c r="A48" s="39">
        <v>2026</v>
      </c>
      <c r="B48" s="147">
        <f>'Population Projections'!$J$7/5</f>
        <v>1997093.8</v>
      </c>
      <c r="C48" s="89" t="s">
        <v>446</v>
      </c>
      <c r="D48" s="54">
        <f>VLOOKUP(A48,'Escalation Factors'!$E$17:$F$44,2,FALSE)</f>
        <v>1.1127275241756756</v>
      </c>
      <c r="E48" s="102">
        <f>B48*D48*'Water - Charge'!$D$48</f>
        <v>1703659.4861651091</v>
      </c>
      <c r="F48" s="103"/>
      <c r="G48" s="35"/>
      <c r="H48" s="34"/>
      <c r="I48" s="34"/>
      <c r="J48" s="34"/>
      <c r="K48" s="133"/>
      <c r="L48" s="34"/>
      <c r="M48" s="8"/>
    </row>
    <row r="49" spans="1:13" x14ac:dyDescent="0.25">
      <c r="A49" s="137">
        <v>2026</v>
      </c>
      <c r="B49" s="152"/>
      <c r="C49" s="60"/>
      <c r="D49" s="55"/>
      <c r="E49" s="101">
        <f>SUBTOTAL(9,E46:E48)</f>
        <v>4632583.2905049976</v>
      </c>
      <c r="F49" s="103">
        <f>F45+E49</f>
        <v>35631218.10103178</v>
      </c>
      <c r="G49" s="35">
        <f>'Water - Phase Costs'!$O$63/5</f>
        <v>7600608.1186533291</v>
      </c>
      <c r="H49" s="34">
        <f>G49+H45</f>
        <v>24922483.561509721</v>
      </c>
      <c r="I49" s="34">
        <f>F49-H49</f>
        <v>10708734.539522059</v>
      </c>
      <c r="J49" s="34">
        <f>I49*(IF(L45&gt;0,$N$9,$N$6))</f>
        <v>135465.49192495405</v>
      </c>
      <c r="K49" s="133">
        <f>(1+(IF(L45&gt;0,$N$9,$N$6)))*K45+J49</f>
        <v>981582.8216387534</v>
      </c>
      <c r="L49" s="34">
        <f>I49+K49</f>
        <v>11690317.361160813</v>
      </c>
      <c r="M49" s="8"/>
    </row>
    <row r="50" spans="1:13" x14ac:dyDescent="0.25">
      <c r="A50" s="39">
        <v>2027</v>
      </c>
      <c r="B50" s="147">
        <f>'Population Projections'!$F$7/5</f>
        <v>540.6</v>
      </c>
      <c r="C50" s="89" t="s">
        <v>444</v>
      </c>
      <c r="D50" s="54">
        <f>VLOOKUP(A50,'Escalation Factors'!$E$17:$F$44,2,FALSE)</f>
        <v>1.1298370355675542</v>
      </c>
      <c r="E50" s="102">
        <f>B50*D50*'Water - Charge'!$D$40</f>
        <v>1021258.1515499364</v>
      </c>
      <c r="F50" s="103"/>
      <c r="G50" s="35"/>
      <c r="H50" s="34"/>
      <c r="I50" s="34"/>
      <c r="J50" s="34"/>
      <c r="K50" s="133"/>
      <c r="L50" s="34"/>
      <c r="M50" s="8"/>
    </row>
    <row r="51" spans="1:13" x14ac:dyDescent="0.25">
      <c r="A51" s="39">
        <v>2027</v>
      </c>
      <c r="B51" s="147">
        <f>'Population Projections'!$G$7/5</f>
        <v>1539</v>
      </c>
      <c r="C51" s="89" t="s">
        <v>445</v>
      </c>
      <c r="D51" s="54">
        <f>VLOOKUP(A51,'Escalation Factors'!$E$17:$F$44,2,FALSE)</f>
        <v>1.1298370355675542</v>
      </c>
      <c r="E51" s="102">
        <f>B51*D51*'Water - Charge'!$D$42</f>
        <v>1952701.3458123046</v>
      </c>
      <c r="F51" s="103"/>
      <c r="G51" s="35"/>
      <c r="H51" s="34"/>
      <c r="I51" s="34"/>
      <c r="J51" s="34"/>
      <c r="K51" s="133"/>
      <c r="L51" s="34"/>
      <c r="M51" s="8"/>
    </row>
    <row r="52" spans="1:13" x14ac:dyDescent="0.25">
      <c r="A52" s="39">
        <v>2027</v>
      </c>
      <c r="B52" s="147">
        <f>'Population Projections'!$J$7/5</f>
        <v>1997093.8</v>
      </c>
      <c r="C52" s="89" t="s">
        <v>446</v>
      </c>
      <c r="D52" s="54">
        <f>VLOOKUP(A52,'Escalation Factors'!$E$17:$F$44,2,FALSE)</f>
        <v>1.1298370355675542</v>
      </c>
      <c r="E52" s="102">
        <f>B52*D52*'Water - Charge'!$D$48</f>
        <v>1729855.2805110947</v>
      </c>
      <c r="F52" s="103"/>
      <c r="G52" s="35"/>
      <c r="H52" s="34"/>
      <c r="I52" s="34"/>
      <c r="J52" s="34"/>
      <c r="K52" s="133"/>
      <c r="L52" s="34"/>
      <c r="M52" s="8"/>
    </row>
    <row r="53" spans="1:13" x14ac:dyDescent="0.25">
      <c r="A53" s="137">
        <v>2027</v>
      </c>
      <c r="B53" s="152"/>
      <c r="C53" s="60"/>
      <c r="D53" s="55"/>
      <c r="E53" s="101">
        <f>SUBTOTAL(9,E50:E52)</f>
        <v>4703814.7778733354</v>
      </c>
      <c r="F53" s="103">
        <f>F49+E53</f>
        <v>40335032.878905118</v>
      </c>
      <c r="G53" s="35">
        <f>'Water - Phase Costs'!$O$63/5</f>
        <v>7600608.1186533291</v>
      </c>
      <c r="H53" s="34">
        <f>G53+H49</f>
        <v>32523091.680163048</v>
      </c>
      <c r="I53" s="34">
        <f>F53-H53</f>
        <v>7811941.1987420693</v>
      </c>
      <c r="J53" s="34">
        <f>I53*(IF(L49&gt;0,$N$9,$N$6))</f>
        <v>98821.056164087175</v>
      </c>
      <c r="K53" s="133">
        <f>(1+(IF(L49&gt;0,$N$9,$N$6)))*K49+J53</f>
        <v>1092820.9004965709</v>
      </c>
      <c r="L53" s="34">
        <f>I53+K53</f>
        <v>8904762.0992386397</v>
      </c>
      <c r="M53" s="8"/>
    </row>
    <row r="54" spans="1:13" x14ac:dyDescent="0.25">
      <c r="A54" s="39">
        <v>2028</v>
      </c>
      <c r="B54" s="147">
        <f>'Population Projections'!$F$7/5</f>
        <v>540.6</v>
      </c>
      <c r="C54" s="89" t="s">
        <v>444</v>
      </c>
      <c r="D54" s="54">
        <f>VLOOKUP(A54,'Escalation Factors'!$E$17:$F$44,2,FALSE)</f>
        <v>1.147209626081418</v>
      </c>
      <c r="E54" s="102">
        <f>B54*D54*'Water - Charge'!$D$40</f>
        <v>1036961.2123607462</v>
      </c>
      <c r="F54" s="103"/>
      <c r="G54" s="35"/>
      <c r="H54" s="34"/>
      <c r="I54" s="34"/>
      <c r="J54" s="34"/>
      <c r="K54" s="133"/>
      <c r="L54" s="34"/>
      <c r="M54" s="8"/>
    </row>
    <row r="55" spans="1:13" x14ac:dyDescent="0.25">
      <c r="A55" s="39">
        <v>2028</v>
      </c>
      <c r="B55" s="147">
        <f>'Population Projections'!$G$7/5</f>
        <v>1539</v>
      </c>
      <c r="C55" s="89" t="s">
        <v>445</v>
      </c>
      <c r="D55" s="54">
        <f>VLOOKUP(A55,'Escalation Factors'!$E$17:$F$44,2,FALSE)</f>
        <v>1.147209626081418</v>
      </c>
      <c r="E55" s="102">
        <f>B55*D55*'Water - Charge'!$D$42</f>
        <v>1982726.4554597565</v>
      </c>
      <c r="F55" s="103"/>
      <c r="G55" s="35"/>
      <c r="H55" s="34"/>
      <c r="I55" s="34"/>
      <c r="J55" s="34"/>
      <c r="K55" s="133"/>
      <c r="L55" s="34"/>
      <c r="M55" s="8"/>
    </row>
    <row r="56" spans="1:13" x14ac:dyDescent="0.25">
      <c r="A56" s="39">
        <v>2028</v>
      </c>
      <c r="B56" s="147">
        <f>'Population Projections'!$J$7/5</f>
        <v>1997093.8</v>
      </c>
      <c r="C56" s="89" t="s">
        <v>446</v>
      </c>
      <c r="D56" s="54">
        <f>VLOOKUP(A56,'Escalation Factors'!$E$17:$F$44,2,FALSE)</f>
        <v>1.147209626081418</v>
      </c>
      <c r="E56" s="102">
        <f>B56*D56*'Water - Charge'!$D$48</f>
        <v>1756453.8664049162</v>
      </c>
      <c r="F56" s="103"/>
      <c r="G56" s="35"/>
      <c r="H56" s="34"/>
      <c r="I56" s="34"/>
      <c r="J56" s="34"/>
      <c r="K56" s="133"/>
      <c r="L56" s="34"/>
      <c r="M56" s="8"/>
    </row>
    <row r="57" spans="1:13" x14ac:dyDescent="0.25">
      <c r="A57" s="137">
        <v>2028</v>
      </c>
      <c r="B57" s="152"/>
      <c r="C57" s="60"/>
      <c r="D57" s="55"/>
      <c r="E57" s="101">
        <f>SUBTOTAL(9,E54:E56)</f>
        <v>4776141.5342254192</v>
      </c>
      <c r="F57" s="103">
        <f>F53+E57</f>
        <v>45111174.413130537</v>
      </c>
      <c r="G57" s="35">
        <f>'Water - Phase Costs'!$O$63/5</f>
        <v>7600608.1186533291</v>
      </c>
      <c r="H57" s="34">
        <f>G57+H53</f>
        <v>40123699.798816375</v>
      </c>
      <c r="I57" s="34">
        <f>F57-H57</f>
        <v>4987474.6143141612</v>
      </c>
      <c r="J57" s="34">
        <f>I57*(IF(L53&gt;0,$N$9,$N$6))</f>
        <v>63091.553871074138</v>
      </c>
      <c r="K57" s="133">
        <f>(1+(IF(L53&gt;0,$N$9,$N$6)))*K53+J57</f>
        <v>1169736.6387589267</v>
      </c>
      <c r="L57" s="34">
        <f>I57+K57</f>
        <v>6157211.2530730879</v>
      </c>
      <c r="M57" s="8"/>
    </row>
    <row r="58" spans="1:13" x14ac:dyDescent="0.25">
      <c r="A58" s="39">
        <v>2029</v>
      </c>
      <c r="B58" s="147">
        <f>'Population Projections'!$F$7/5</f>
        <v>540.6</v>
      </c>
      <c r="C58" s="89" t="s">
        <v>444</v>
      </c>
      <c r="D58" s="54">
        <f>VLOOKUP(A58,'Escalation Factors'!$E$17:$F$44,2,FALSE)</f>
        <v>1.1648493408722009</v>
      </c>
      <c r="E58" s="102">
        <f>B58*D58*'Water - Charge'!$D$40</f>
        <v>1052905.7264402069</v>
      </c>
      <c r="F58" s="103"/>
      <c r="G58" s="35"/>
      <c r="H58" s="34"/>
      <c r="I58" s="34"/>
      <c r="J58" s="34"/>
      <c r="K58" s="133"/>
      <c r="L58" s="34"/>
      <c r="M58" s="8"/>
    </row>
    <row r="59" spans="1:13" x14ac:dyDescent="0.25">
      <c r="A59" s="39">
        <v>2029</v>
      </c>
      <c r="B59" s="147">
        <f>'Population Projections'!$G$7/5</f>
        <v>1539</v>
      </c>
      <c r="C59" s="89" t="s">
        <v>445</v>
      </c>
      <c r="D59" s="54">
        <f>VLOOKUP(A59,'Escalation Factors'!$E$17:$F$44,2,FALSE)</f>
        <v>1.1648493408722009</v>
      </c>
      <c r="E59" s="102">
        <f>B59*D59*'Water - Charge'!$D$42</f>
        <v>2013213.2369400645</v>
      </c>
      <c r="F59" s="103"/>
      <c r="G59" s="35"/>
      <c r="H59" s="34"/>
      <c r="I59" s="34"/>
      <c r="J59" s="34"/>
      <c r="K59" s="133"/>
      <c r="L59" s="34"/>
      <c r="M59" s="8"/>
    </row>
    <row r="60" spans="1:13" x14ac:dyDescent="0.25">
      <c r="A60" s="39">
        <v>2029</v>
      </c>
      <c r="B60" s="147">
        <f>'Population Projections'!$J$7/5</f>
        <v>1997093.8</v>
      </c>
      <c r="C60" s="89" t="s">
        <v>446</v>
      </c>
      <c r="D60" s="54">
        <f>VLOOKUP(A60,'Escalation Factors'!$E$17:$F$44,2,FALSE)</f>
        <v>1.1648493408722009</v>
      </c>
      <c r="E60" s="102">
        <f>B60*D60*'Water - Charge'!$D$48</f>
        <v>1783461.4372465087</v>
      </c>
      <c r="F60" s="103"/>
      <c r="G60" s="35"/>
      <c r="H60" s="34"/>
      <c r="I60" s="34"/>
      <c r="J60" s="34"/>
      <c r="K60" s="133"/>
      <c r="L60" s="34"/>
      <c r="M60" s="8"/>
    </row>
    <row r="61" spans="1:13" x14ac:dyDescent="0.25">
      <c r="A61" s="137">
        <v>2029</v>
      </c>
      <c r="B61" s="152"/>
      <c r="C61" s="60"/>
      <c r="D61" s="55"/>
      <c r="E61" s="101">
        <f>SUBTOTAL(9,E58:E60)</f>
        <v>4849580.4006267805</v>
      </c>
      <c r="F61" s="103">
        <f>F57+E61</f>
        <v>49960754.813757315</v>
      </c>
      <c r="G61" s="35">
        <f>'Water - Phase Costs'!$O$63/5</f>
        <v>7600608.1186533291</v>
      </c>
      <c r="H61" s="34">
        <f>G61+H57</f>
        <v>47724307.917469703</v>
      </c>
      <c r="I61" s="34">
        <f>F61-H61</f>
        <v>2236446.8962876126</v>
      </c>
      <c r="J61" s="34">
        <f>I61*(IF(L57&gt;0,$N$9,$N$6))</f>
        <v>28291.053238038297</v>
      </c>
      <c r="K61" s="133">
        <f>(1+(IF(L57&gt;0,$N$9,$N$6)))*K57+J61</f>
        <v>1212824.8604772654</v>
      </c>
      <c r="L61" s="34">
        <f>I61+K61</f>
        <v>3449271.7567648781</v>
      </c>
      <c r="M61" s="8"/>
    </row>
    <row r="62" spans="1:13" x14ac:dyDescent="0.25">
      <c r="A62" s="39">
        <v>2030</v>
      </c>
      <c r="B62" s="147">
        <f>'Population Projections'!$F$7/5</f>
        <v>540.6</v>
      </c>
      <c r="C62" s="89" t="s">
        <v>444</v>
      </c>
      <c r="D62" s="54">
        <f>VLOOKUP(A62,'Escalation Factors'!$E$17:$F$44,2,FALSE)</f>
        <v>1.1827602872939134</v>
      </c>
      <c r="E62" s="102">
        <f>B62*D62*'Water - Charge'!$D$40</f>
        <v>1069095.4064199924</v>
      </c>
      <c r="F62" s="103"/>
      <c r="G62" s="35"/>
      <c r="H62" s="34"/>
      <c r="I62" s="34"/>
      <c r="J62" s="34"/>
      <c r="K62" s="133"/>
      <c r="L62" s="34"/>
      <c r="M62" s="8"/>
    </row>
    <row r="63" spans="1:13" x14ac:dyDescent="0.25">
      <c r="A63" s="39">
        <v>2030</v>
      </c>
      <c r="B63" s="147">
        <f>'Population Projections'!$G$7/5</f>
        <v>1539</v>
      </c>
      <c r="C63" s="89" t="s">
        <v>445</v>
      </c>
      <c r="D63" s="54">
        <f>VLOOKUP(A63,'Escalation Factors'!$E$17:$F$44,2,FALSE)</f>
        <v>1.1827602872939134</v>
      </c>
      <c r="E63" s="102">
        <f>B63*D63*'Water - Charge'!$D$42</f>
        <v>2044168.7890076963</v>
      </c>
      <c r="F63" s="103"/>
      <c r="G63" s="35"/>
      <c r="H63" s="34"/>
      <c r="I63" s="34"/>
      <c r="J63" s="34"/>
      <c r="K63" s="133"/>
      <c r="L63" s="34"/>
      <c r="M63" s="8"/>
    </row>
    <row r="64" spans="1:13" x14ac:dyDescent="0.25">
      <c r="A64" s="39">
        <v>2030</v>
      </c>
      <c r="B64" s="147">
        <f>'Population Projections'!$J$7/5</f>
        <v>1997093.8</v>
      </c>
      <c r="C64" s="89" t="s">
        <v>446</v>
      </c>
      <c r="D64" s="54">
        <f>VLOOKUP(A64,'Escalation Factors'!$E$17:$F$44,2,FALSE)</f>
        <v>1.1827602872939134</v>
      </c>
      <c r="E64" s="102">
        <f>B64*D64*'Water - Charge'!$D$48</f>
        <v>1810884.2816667103</v>
      </c>
      <c r="F64" s="103"/>
      <c r="G64" s="35"/>
      <c r="H64" s="34"/>
      <c r="I64" s="34"/>
      <c r="J64" s="34"/>
      <c r="K64" s="133"/>
      <c r="L64" s="34"/>
      <c r="M64" s="8"/>
    </row>
    <row r="65" spans="1:13" x14ac:dyDescent="0.25">
      <c r="A65" s="137">
        <v>2030</v>
      </c>
      <c r="B65" s="152"/>
      <c r="C65" s="60"/>
      <c r="D65" s="55"/>
      <c r="E65" s="101">
        <f>SUBTOTAL(9,E62:E64)</f>
        <v>4924148.4770943988</v>
      </c>
      <c r="F65" s="103">
        <f>F61+E65</f>
        <v>54884903.290851712</v>
      </c>
      <c r="G65" s="35">
        <f>'Water - Phase Costs'!$O$63/5</f>
        <v>7600608.1186533291</v>
      </c>
      <c r="H65" s="34">
        <f>G65+H61</f>
        <v>55324916.03612303</v>
      </c>
      <c r="I65" s="34">
        <f>F65-H65</f>
        <v>-440012.74527131766</v>
      </c>
      <c r="J65" s="34">
        <f>I65*(IF(L61&gt;0,$N$9,$N$6))</f>
        <v>-5566.1612276821679</v>
      </c>
      <c r="K65" s="133">
        <f>(1+(IF(L61&gt;0,$N$9,$N$6)))*K61+J65</f>
        <v>1222600.9337346207</v>
      </c>
      <c r="L65" s="34">
        <f>I65+K65</f>
        <v>782588.18846330303</v>
      </c>
      <c r="M65" s="8"/>
    </row>
    <row r="66" spans="1:13" x14ac:dyDescent="0.25">
      <c r="A66" s="39">
        <v>2031</v>
      </c>
      <c r="B66" s="147">
        <f>'Population Projections'!$F$8/5</f>
        <v>565</v>
      </c>
      <c r="C66" s="89" t="s">
        <v>444</v>
      </c>
      <c r="D66" s="54">
        <f>VLOOKUP(A66,'Escalation Factors'!$E$17:$F$44,2,FALSE)</f>
        <v>1.2009466358560272</v>
      </c>
      <c r="E66" s="102">
        <f>B66*D66*'Water - Charge'!$D$40</f>
        <v>1134529.6382540138</v>
      </c>
      <c r="F66" s="103"/>
      <c r="G66" s="35"/>
      <c r="H66" s="34"/>
      <c r="I66" s="34"/>
      <c r="J66" s="34"/>
      <c r="K66" s="133"/>
      <c r="L66" s="34"/>
      <c r="M66" s="8"/>
    </row>
    <row r="67" spans="1:13" x14ac:dyDescent="0.25">
      <c r="A67" s="39">
        <v>2031</v>
      </c>
      <c r="B67" s="147">
        <f>'Population Projections'!$G$8/5</f>
        <v>1607.8</v>
      </c>
      <c r="C67" s="89" t="s">
        <v>445</v>
      </c>
      <c r="D67" s="54">
        <f>VLOOKUP(A67,'Escalation Factors'!$E$17:$F$44,2,FALSE)</f>
        <v>1.2009466358560272</v>
      </c>
      <c r="E67" s="102">
        <f>B67*D67*'Water - Charge'!$D$42</f>
        <v>2168388.6899304222</v>
      </c>
      <c r="F67" s="103"/>
      <c r="G67" s="35"/>
      <c r="H67" s="34"/>
      <c r="I67" s="34"/>
      <c r="J67" s="34"/>
      <c r="K67" s="133"/>
      <c r="L67" s="34"/>
      <c r="M67" s="8"/>
    </row>
    <row r="68" spans="1:13" x14ac:dyDescent="0.25">
      <c r="A68" s="39">
        <v>2031</v>
      </c>
      <c r="B68" s="147">
        <f>'Population Projections'!$J$8/5</f>
        <v>2086443.6</v>
      </c>
      <c r="C68" s="89" t="s">
        <v>446</v>
      </c>
      <c r="D68" s="54">
        <f>VLOOKUP(A68,'Escalation Factors'!$E$17:$F$44,2,FALSE)</f>
        <v>1.2009466358560272</v>
      </c>
      <c r="E68" s="102">
        <f>B68*D68*'Water - Charge'!$D$48</f>
        <v>1920993.3482250036</v>
      </c>
      <c r="F68" s="103"/>
      <c r="G68" s="35"/>
      <c r="H68" s="34"/>
      <c r="I68" s="34"/>
      <c r="J68" s="34"/>
      <c r="K68" s="133"/>
      <c r="L68" s="34"/>
      <c r="M68" s="8"/>
    </row>
    <row r="69" spans="1:13" x14ac:dyDescent="0.25">
      <c r="A69" s="137">
        <v>2031</v>
      </c>
      <c r="B69" s="152"/>
      <c r="C69" s="60"/>
      <c r="D69" s="55"/>
      <c r="E69" s="101">
        <f>SUBTOTAL(9,E66:E68)</f>
        <v>5223911.6764094401</v>
      </c>
      <c r="F69" s="103">
        <f>F65+E69</f>
        <v>60108814.96726115</v>
      </c>
      <c r="G69" s="35">
        <f>'Water - Phase Costs'!$O$65/5</f>
        <v>5141996.8424096191</v>
      </c>
      <c r="H69" s="34">
        <f>G69+H65</f>
        <v>60466912.878532648</v>
      </c>
      <c r="I69" s="34">
        <f>F69-H69</f>
        <v>-358097.91127149761</v>
      </c>
      <c r="J69" s="34">
        <f>I69*(IF(L65&gt;0,$N$9,$N$6))</f>
        <v>-4529.9385775844448</v>
      </c>
      <c r="K69" s="133">
        <f>(1+(IF(L65&gt;0,$N$9,$N$6)))*K65+J69</f>
        <v>1233536.8969687792</v>
      </c>
      <c r="L69" s="34">
        <f>I69+K69</f>
        <v>875438.98569728155</v>
      </c>
      <c r="M69" s="8"/>
    </row>
    <row r="70" spans="1:13" x14ac:dyDescent="0.25">
      <c r="A70" s="39">
        <v>2032</v>
      </c>
      <c r="B70" s="147">
        <f>'Population Projections'!$F$8/5</f>
        <v>565</v>
      </c>
      <c r="C70" s="89" t="s">
        <v>444</v>
      </c>
      <c r="D70" s="54">
        <f>VLOOKUP(A70,'Escalation Factors'!$E$17:$F$44,2,FALSE)</f>
        <v>1.2194126211945662</v>
      </c>
      <c r="E70" s="102">
        <f>B70*D70*'Water - Charge'!$D$40</f>
        <v>1151974.3831249657</v>
      </c>
      <c r="F70" s="103"/>
      <c r="G70" s="35"/>
      <c r="H70" s="34"/>
      <c r="I70" s="34"/>
      <c r="J70" s="34"/>
      <c r="K70" s="133"/>
      <c r="L70" s="34"/>
      <c r="M70" s="8"/>
    </row>
    <row r="71" spans="1:13" x14ac:dyDescent="0.25">
      <c r="A71" s="39">
        <v>2032</v>
      </c>
      <c r="B71" s="147">
        <f>'Population Projections'!$G$8/5</f>
        <v>1607.8</v>
      </c>
      <c r="C71" s="89" t="s">
        <v>445</v>
      </c>
      <c r="D71" s="54">
        <f>VLOOKUP(A71,'Escalation Factors'!$E$17:$F$44,2,FALSE)</f>
        <v>1.2194126211945662</v>
      </c>
      <c r="E71" s="102">
        <f>B71*D71*'Water - Charge'!$D$42</f>
        <v>2201730.2494643875</v>
      </c>
      <c r="F71" s="103"/>
      <c r="G71" s="35"/>
      <c r="H71" s="34"/>
      <c r="I71" s="34"/>
      <c r="J71" s="34"/>
      <c r="K71" s="133"/>
      <c r="L71" s="34"/>
      <c r="M71" s="8"/>
    </row>
    <row r="72" spans="1:13" x14ac:dyDescent="0.25">
      <c r="A72" s="39">
        <v>2032</v>
      </c>
      <c r="B72" s="147">
        <f>'Population Projections'!$J$8/5</f>
        <v>2086443.6</v>
      </c>
      <c r="C72" s="89" t="s">
        <v>446</v>
      </c>
      <c r="D72" s="54">
        <f>VLOOKUP(A72,'Escalation Factors'!$E$17:$F$44,2,FALSE)</f>
        <v>1.2194126211945662</v>
      </c>
      <c r="E72" s="102">
        <f>B72*D72*'Water - Charge'!$D$48</f>
        <v>1950530.9096325252</v>
      </c>
      <c r="F72" s="103"/>
      <c r="G72" s="35"/>
      <c r="H72" s="34"/>
      <c r="I72" s="34"/>
      <c r="J72" s="34"/>
      <c r="K72" s="133"/>
      <c r="L72" s="34"/>
      <c r="M72" s="8"/>
    </row>
    <row r="73" spans="1:13" x14ac:dyDescent="0.25">
      <c r="A73" s="137">
        <v>2032</v>
      </c>
      <c r="B73" s="152"/>
      <c r="C73" s="60"/>
      <c r="D73" s="55"/>
      <c r="E73" s="101">
        <f>SUBTOTAL(9,E70:E72)</f>
        <v>5304235.5422218787</v>
      </c>
      <c r="F73" s="103">
        <f>F69+E73</f>
        <v>65413050.509483032</v>
      </c>
      <c r="G73" s="35">
        <f>'Water - Phase Costs'!$O$65/5</f>
        <v>5141996.8424096191</v>
      </c>
      <c r="H73" s="34">
        <f>G73+H69</f>
        <v>65608909.720942266</v>
      </c>
      <c r="I73" s="34">
        <f>F73-H73</f>
        <v>-195859.21145923436</v>
      </c>
      <c r="J73" s="34">
        <f>I73*(IF(L69&gt;0,$N$9,$N$6))</f>
        <v>-2477.6190249593146</v>
      </c>
      <c r="K73" s="133">
        <f>(1+(IF(L69&gt;0,$N$9,$N$6)))*K69+J73</f>
        <v>1246663.519690475</v>
      </c>
      <c r="L73" s="34">
        <f>I73+K73</f>
        <v>1050804.3082312406</v>
      </c>
      <c r="M73" s="8"/>
    </row>
    <row r="74" spans="1:13" x14ac:dyDescent="0.25">
      <c r="A74" s="39">
        <v>2033</v>
      </c>
      <c r="B74" s="147">
        <f>'Population Projections'!$F$8/5</f>
        <v>565</v>
      </c>
      <c r="C74" s="89" t="s">
        <v>444</v>
      </c>
      <c r="D74" s="54">
        <f>VLOOKUP(A74,'Escalation Factors'!$E$17:$F$44,2,FALSE)</f>
        <v>1.2381625430581287</v>
      </c>
      <c r="E74" s="102">
        <f>B74*D74*'Water - Charge'!$D$40</f>
        <v>1169687.3617320426</v>
      </c>
      <c r="F74" s="103"/>
      <c r="G74" s="35"/>
      <c r="H74" s="34"/>
      <c r="I74" s="34"/>
      <c r="J74" s="34"/>
      <c r="K74" s="133"/>
      <c r="L74" s="34"/>
      <c r="M74" s="8"/>
    </row>
    <row r="75" spans="1:13" x14ac:dyDescent="0.25">
      <c r="A75" s="39">
        <v>2033</v>
      </c>
      <c r="B75" s="147">
        <f>'Population Projections'!$G$8/5</f>
        <v>1607.8</v>
      </c>
      <c r="C75" s="89" t="s">
        <v>445</v>
      </c>
      <c r="D75" s="54">
        <f>VLOOKUP(A75,'Escalation Factors'!$E$17:$F$44,2,FALSE)</f>
        <v>1.2381625430581287</v>
      </c>
      <c r="E75" s="102">
        <f>B75*D75*'Water - Charge'!$D$42</f>
        <v>2235584.4751994452</v>
      </c>
      <c r="F75" s="103"/>
      <c r="G75" s="35"/>
      <c r="H75" s="34"/>
      <c r="I75" s="34"/>
      <c r="J75" s="34"/>
      <c r="K75" s="133"/>
      <c r="L75" s="34"/>
      <c r="M75" s="8"/>
    </row>
    <row r="76" spans="1:13" x14ac:dyDescent="0.25">
      <c r="A76" s="39">
        <v>2033</v>
      </c>
      <c r="B76" s="147">
        <f>'Population Projections'!$J$8/5</f>
        <v>2086443.6</v>
      </c>
      <c r="C76" s="89" t="s">
        <v>446</v>
      </c>
      <c r="D76" s="54">
        <f>VLOOKUP(A76,'Escalation Factors'!$E$17:$F$44,2,FALSE)</f>
        <v>1.2381625430581287</v>
      </c>
      <c r="E76" s="102">
        <f>B76*D76*'Water - Charge'!$D$48</f>
        <v>1980522.6462378474</v>
      </c>
      <c r="F76" s="103"/>
      <c r="G76" s="35"/>
      <c r="H76" s="34"/>
      <c r="I76" s="34"/>
      <c r="J76" s="34"/>
      <c r="K76" s="133"/>
      <c r="L76" s="34"/>
      <c r="M76" s="8"/>
    </row>
    <row r="77" spans="1:13" x14ac:dyDescent="0.25">
      <c r="A77" s="137">
        <v>2033</v>
      </c>
      <c r="B77" s="152"/>
      <c r="C77" s="60"/>
      <c r="D77" s="55"/>
      <c r="E77" s="101">
        <f>SUBTOTAL(9,E74:E76)</f>
        <v>5385794.4831693349</v>
      </c>
      <c r="F77" s="103">
        <f>F73+E77</f>
        <v>70798844.992652372</v>
      </c>
      <c r="G77" s="35">
        <f>'Water - Phase Costs'!$O$65/5</f>
        <v>5141996.8424096191</v>
      </c>
      <c r="H77" s="34">
        <f>G77+H73</f>
        <v>70750906.563351884</v>
      </c>
      <c r="I77" s="34">
        <f>F77-H77</f>
        <v>47938.429300487041</v>
      </c>
      <c r="J77" s="34">
        <f>I77*(IF(L73&gt;0,$N$9,$N$6))</f>
        <v>606.42113065116109</v>
      </c>
      <c r="K77" s="133">
        <f>(1+(IF(L73&gt;0,$N$9,$N$6)))*K73+J77</f>
        <v>1263040.2343452107</v>
      </c>
      <c r="L77" s="34">
        <f>I77+K77</f>
        <v>1310978.6636456978</v>
      </c>
      <c r="M77" s="8"/>
    </row>
    <row r="78" spans="1:13" x14ac:dyDescent="0.25">
      <c r="A78" s="39">
        <v>2034</v>
      </c>
      <c r="B78" s="147">
        <f>'Population Projections'!$F$8/5</f>
        <v>565</v>
      </c>
      <c r="C78" s="89" t="s">
        <v>444</v>
      </c>
      <c r="D78" s="54">
        <f>VLOOKUP(A78,'Escalation Factors'!$E$17:$F$44,2,FALSE)</f>
        <v>1.2572007673090693</v>
      </c>
      <c r="E78" s="102">
        <f>B78*D78*'Water - Charge'!$D$40</f>
        <v>1187672.6984885109</v>
      </c>
      <c r="F78" s="103"/>
      <c r="G78" s="35"/>
      <c r="H78" s="34"/>
      <c r="I78" s="34"/>
      <c r="J78" s="34"/>
      <c r="K78" s="133"/>
      <c r="L78" s="34"/>
      <c r="M78" s="8"/>
    </row>
    <row r="79" spans="1:13" x14ac:dyDescent="0.25">
      <c r="A79" s="39">
        <v>2034</v>
      </c>
      <c r="B79" s="147">
        <f>'Population Projections'!$G$8/5</f>
        <v>1607.8</v>
      </c>
      <c r="C79" s="89" t="s">
        <v>445</v>
      </c>
      <c r="D79" s="54">
        <f>VLOOKUP(A79,'Escalation Factors'!$E$17:$F$44,2,FALSE)</f>
        <v>1.2572007673090693</v>
      </c>
      <c r="E79" s="102">
        <f>B79*D79*'Water - Charge'!$D$42</f>
        <v>2269959.2499892283</v>
      </c>
      <c r="F79" s="103"/>
      <c r="G79" s="35"/>
      <c r="H79" s="34"/>
      <c r="I79" s="34"/>
      <c r="J79" s="34"/>
      <c r="K79" s="133"/>
      <c r="L79" s="34"/>
      <c r="M79" s="8"/>
    </row>
    <row r="80" spans="1:13" x14ac:dyDescent="0.25">
      <c r="A80" s="39">
        <v>2034</v>
      </c>
      <c r="B80" s="147">
        <f>'Population Projections'!$J$8/5</f>
        <v>2086443.6</v>
      </c>
      <c r="C80" s="89" t="s">
        <v>446</v>
      </c>
      <c r="D80" s="54">
        <f>VLOOKUP(A80,'Escalation Factors'!$E$17:$F$44,2,FALSE)</f>
        <v>1.2572007673090693</v>
      </c>
      <c r="E80" s="102">
        <f>B80*D80*'Water - Charge'!$D$48</f>
        <v>2010975.5415257423</v>
      </c>
      <c r="F80" s="103"/>
      <c r="G80" s="35"/>
      <c r="H80" s="34"/>
      <c r="I80" s="34"/>
      <c r="J80" s="34"/>
      <c r="K80" s="133"/>
      <c r="L80" s="34"/>
      <c r="M80" s="8"/>
    </row>
    <row r="81" spans="1:13" x14ac:dyDescent="0.25">
      <c r="A81" s="137">
        <v>2034</v>
      </c>
      <c r="B81" s="152"/>
      <c r="C81" s="60"/>
      <c r="D81" s="55"/>
      <c r="E81" s="101">
        <f>SUBTOTAL(9,E78:E80)</f>
        <v>5468607.4900034815</v>
      </c>
      <c r="F81" s="103">
        <f>F77+E81</f>
        <v>76267452.482655853</v>
      </c>
      <c r="G81" s="35">
        <f>'Water - Phase Costs'!$O$65/5</f>
        <v>5141996.8424096191</v>
      </c>
      <c r="H81" s="34">
        <f>G81+H77</f>
        <v>75892903.40576151</v>
      </c>
      <c r="I81" s="34">
        <f>F81-H81</f>
        <v>374549.0768943429</v>
      </c>
      <c r="J81" s="34">
        <f>I81*(IF(L77&gt;0,$N$9,$N$6))</f>
        <v>4738.0458227134377</v>
      </c>
      <c r="K81" s="133">
        <f>(1+(IF(L77&gt;0,$N$9,$N$6)))*K77+J81</f>
        <v>1283755.7391323913</v>
      </c>
      <c r="L81" s="34">
        <f>I81+K81</f>
        <v>1658304.8160267342</v>
      </c>
      <c r="M81" s="8"/>
    </row>
    <row r="82" spans="1:13" x14ac:dyDescent="0.25">
      <c r="A82" s="39">
        <v>2035</v>
      </c>
      <c r="B82" s="147">
        <f>'Population Projections'!$F$8/5</f>
        <v>565</v>
      </c>
      <c r="C82" s="89" t="s">
        <v>444</v>
      </c>
      <c r="D82" s="54">
        <f>VLOOKUP(A82,'Escalation Factors'!$E$17:$F$44,2,FALSE)</f>
        <v>1.2765317269400787</v>
      </c>
      <c r="E82" s="102">
        <f>B82*D82*'Water - Charge'!$D$40</f>
        <v>1205934.5812254064</v>
      </c>
      <c r="F82" s="103"/>
      <c r="G82" s="35"/>
      <c r="H82" s="34"/>
      <c r="I82" s="34"/>
      <c r="J82" s="34"/>
      <c r="K82" s="133"/>
      <c r="L82" s="34"/>
      <c r="M82" s="8"/>
    </row>
    <row r="83" spans="1:13" x14ac:dyDescent="0.25">
      <c r="A83" s="39">
        <v>2035</v>
      </c>
      <c r="B83" s="147">
        <f>'Population Projections'!$G$8/5</f>
        <v>1607.8</v>
      </c>
      <c r="C83" s="89" t="s">
        <v>445</v>
      </c>
      <c r="D83" s="54">
        <f>VLOOKUP(A83,'Escalation Factors'!$E$17:$F$44,2,FALSE)</f>
        <v>1.2765317269400787</v>
      </c>
      <c r="E83" s="102">
        <f>B83*D83*'Water - Charge'!$D$42</f>
        <v>2304862.5778956381</v>
      </c>
      <c r="F83" s="103"/>
      <c r="G83" s="35"/>
      <c r="H83" s="34"/>
      <c r="I83" s="34"/>
      <c r="J83" s="34"/>
      <c r="K83" s="133"/>
      <c r="L83" s="34"/>
      <c r="M83" s="8"/>
    </row>
    <row r="84" spans="1:13" x14ac:dyDescent="0.25">
      <c r="A84" s="39">
        <v>2035</v>
      </c>
      <c r="B84" s="147">
        <f>'Population Projections'!$J$8/5</f>
        <v>2086443.6</v>
      </c>
      <c r="C84" s="89" t="s">
        <v>446</v>
      </c>
      <c r="D84" s="54">
        <f>VLOOKUP(A84,'Escalation Factors'!$E$17:$F$44,2,FALSE)</f>
        <v>1.2765317269400787</v>
      </c>
      <c r="E84" s="102">
        <f>B84*D84*'Water - Charge'!$D$48</f>
        <v>2041896.6863603797</v>
      </c>
      <c r="F84" s="103"/>
      <c r="G84" s="35"/>
      <c r="H84" s="34"/>
      <c r="I84" s="34"/>
      <c r="J84" s="34"/>
      <c r="K84" s="133"/>
      <c r="L84" s="34"/>
      <c r="M84" s="8"/>
    </row>
    <row r="85" spans="1:13" x14ac:dyDescent="0.25">
      <c r="A85" s="137">
        <v>2035</v>
      </c>
      <c r="B85" s="152"/>
      <c r="C85" s="60"/>
      <c r="D85" s="55"/>
      <c r="E85" s="101">
        <f>SUBTOTAL(9,E82:E84)</f>
        <v>5552693.8454814237</v>
      </c>
      <c r="F85" s="103">
        <f>F81+E85</f>
        <v>81820146.328137279</v>
      </c>
      <c r="G85" s="35">
        <f>'Water - Phase Costs'!$O$65/5</f>
        <v>5141996.8424096191</v>
      </c>
      <c r="H85" s="34">
        <f>G85+H81</f>
        <v>81034900.248171136</v>
      </c>
      <c r="I85" s="34">
        <f>F85-H85</f>
        <v>785246.07996614277</v>
      </c>
      <c r="J85" s="34">
        <f>I85*(IF(L81&gt;0,$N$9,$N$6))</f>
        <v>9933.3629115717067</v>
      </c>
      <c r="K85" s="133">
        <f>(1+(IF(L81&gt;0,$N$9,$N$6)))*K81+J85</f>
        <v>1309928.6121439878</v>
      </c>
      <c r="L85" s="34">
        <f>I85+K85</f>
        <v>2095174.6921101306</v>
      </c>
      <c r="M85" s="8"/>
    </row>
    <row r="86" spans="1:13" x14ac:dyDescent="0.25">
      <c r="A86" s="39">
        <v>2036</v>
      </c>
      <c r="B86" s="147">
        <f>'Population Projections'!$F$9/5</f>
        <v>604.79999999999995</v>
      </c>
      <c r="C86" s="89" t="s">
        <v>444</v>
      </c>
      <c r="D86" s="54">
        <f>VLOOKUP(A86,'Escalation Factors'!$E$17:$F$44,2,FALSE)</f>
        <v>1.2961599231063914</v>
      </c>
      <c r="E86" s="102">
        <f>B86*D86*'Water - Charge'!$D$40</f>
        <v>1310732.4746166258</v>
      </c>
      <c r="F86" s="103"/>
      <c r="G86" s="35"/>
      <c r="H86" s="34"/>
      <c r="I86" s="34"/>
      <c r="J86" s="34"/>
      <c r="K86" s="133"/>
      <c r="L86" s="34"/>
      <c r="M86" s="8"/>
    </row>
    <row r="87" spans="1:13" x14ac:dyDescent="0.25">
      <c r="A87" s="39">
        <v>2036</v>
      </c>
      <c r="B87" s="147">
        <f>'Population Projections'!$G$9/5</f>
        <v>1721.4</v>
      </c>
      <c r="C87" s="89" t="s">
        <v>445</v>
      </c>
      <c r="D87" s="54">
        <f>VLOOKUP(A87,'Escalation Factors'!$E$17:$F$44,2,FALSE)</f>
        <v>1.2961599231063914</v>
      </c>
      <c r="E87" s="102">
        <f>B87*D87*'Water - Charge'!$D$42</f>
        <v>2505657.9622035576</v>
      </c>
      <c r="F87" s="103"/>
      <c r="G87" s="35"/>
      <c r="H87" s="34"/>
      <c r="I87" s="34"/>
      <c r="J87" s="34"/>
      <c r="K87" s="133"/>
      <c r="L87" s="34"/>
      <c r="M87" s="8"/>
    </row>
    <row r="88" spans="1:13" x14ac:dyDescent="0.25">
      <c r="A88" s="39">
        <v>2036</v>
      </c>
      <c r="B88" s="147">
        <f>'Population Projections'!$J$9/5</f>
        <v>2233741</v>
      </c>
      <c r="C88" s="89" t="s">
        <v>446</v>
      </c>
      <c r="D88" s="54">
        <f>VLOOKUP(A88,'Escalation Factors'!$E$17:$F$44,2,FALSE)</f>
        <v>1.2961599231063914</v>
      </c>
      <c r="E88" s="102">
        <f>B88*D88*'Water - Charge'!$D$48</f>
        <v>2219662.3028688952</v>
      </c>
      <c r="F88" s="103"/>
      <c r="G88" s="35"/>
      <c r="H88" s="34"/>
      <c r="I88" s="34"/>
      <c r="J88" s="34"/>
      <c r="K88" s="133"/>
      <c r="L88" s="34"/>
      <c r="M88" s="8"/>
    </row>
    <row r="89" spans="1:13" x14ac:dyDescent="0.25">
      <c r="A89" s="137">
        <v>2036</v>
      </c>
      <c r="B89" s="152"/>
      <c r="C89" s="60"/>
      <c r="D89" s="55"/>
      <c r="E89" s="101">
        <f>SUBTOTAL(9,E86:E88)</f>
        <v>6036052.7396890782</v>
      </c>
      <c r="F89" s="103">
        <f>F85+E89</f>
        <v>87856199.06782636</v>
      </c>
      <c r="G89" s="35">
        <f>'Water - Phase Costs'!$O$74/5</f>
        <v>6708933.0961851897</v>
      </c>
      <c r="H89" s="34">
        <f>G89+H85</f>
        <v>87743833.344356328</v>
      </c>
      <c r="I89" s="34">
        <f>F89-H89</f>
        <v>112365.72347003222</v>
      </c>
      <c r="J89" s="34">
        <f>I89*(IF(L85&gt;0,$N$9,$N$6))</f>
        <v>1421.4264018959075</v>
      </c>
      <c r="K89" s="133">
        <f>(1+(IF(L85&gt;0,$N$9,$N$6)))*K85+J89</f>
        <v>1327920.6354895053</v>
      </c>
      <c r="L89" s="34">
        <f>I89+K89</f>
        <v>1440286.3589595375</v>
      </c>
      <c r="M89" s="8"/>
    </row>
    <row r="90" spans="1:13" x14ac:dyDescent="0.25">
      <c r="A90" s="39">
        <v>2037</v>
      </c>
      <c r="B90" s="147">
        <f>'Population Projections'!$F$9/5</f>
        <v>604.79999999999995</v>
      </c>
      <c r="C90" s="89" t="s">
        <v>444</v>
      </c>
      <c r="D90" s="54">
        <f>VLOOKUP(A90,'Escalation Factors'!$E$17:$F$44,2,FALSE)</f>
        <v>1.3160899261738668</v>
      </c>
      <c r="E90" s="102">
        <f>B90*D90*'Water - Charge'!$D$40</f>
        <v>1330886.5480253627</v>
      </c>
      <c r="F90" s="103"/>
      <c r="G90" s="35"/>
      <c r="H90" s="34"/>
      <c r="I90" s="34"/>
      <c r="J90" s="34"/>
      <c r="K90" s="133"/>
      <c r="L90" s="34"/>
      <c r="M90" s="8"/>
    </row>
    <row r="91" spans="1:13" x14ac:dyDescent="0.25">
      <c r="A91" s="39">
        <v>2037</v>
      </c>
      <c r="B91" s="147">
        <f>'Population Projections'!$G$9/5</f>
        <v>1721.4</v>
      </c>
      <c r="C91" s="89" t="s">
        <v>445</v>
      </c>
      <c r="D91" s="54">
        <f>VLOOKUP(A91,'Escalation Factors'!$E$17:$F$44,2,FALSE)</f>
        <v>1.3160899261738668</v>
      </c>
      <c r="E91" s="102">
        <f>B91*D91*'Water - Charge'!$D$42</f>
        <v>2544185.4386225785</v>
      </c>
      <c r="F91" s="103"/>
      <c r="G91" s="35"/>
      <c r="H91" s="34"/>
      <c r="I91" s="34"/>
      <c r="J91" s="34"/>
      <c r="K91" s="133"/>
      <c r="L91" s="34"/>
      <c r="M91" s="8"/>
    </row>
    <row r="92" spans="1:13" x14ac:dyDescent="0.25">
      <c r="A92" s="39">
        <v>2037</v>
      </c>
      <c r="B92" s="147">
        <f>'Population Projections'!$J$9/5</f>
        <v>2233741</v>
      </c>
      <c r="C92" s="89" t="s">
        <v>446</v>
      </c>
      <c r="D92" s="54">
        <f>VLOOKUP(A92,'Escalation Factors'!$E$17:$F$44,2,FALSE)</f>
        <v>1.3160899261738668</v>
      </c>
      <c r="E92" s="102">
        <f>B92*D92*'Water - Charge'!$D$48</f>
        <v>2253792.2552893613</v>
      </c>
      <c r="F92" s="103"/>
      <c r="G92" s="35"/>
      <c r="H92" s="34"/>
      <c r="I92" s="34"/>
      <c r="J92" s="34"/>
      <c r="K92" s="133"/>
      <c r="L92" s="34"/>
      <c r="M92" s="8"/>
    </row>
    <row r="93" spans="1:13" x14ac:dyDescent="0.25">
      <c r="A93" s="137">
        <v>2037</v>
      </c>
      <c r="B93" s="152"/>
      <c r="C93" s="60"/>
      <c r="D93" s="55"/>
      <c r="E93" s="101">
        <f>SUBTOTAL(9,E90:E92)</f>
        <v>6128864.2419373021</v>
      </c>
      <c r="F93" s="103">
        <f>F89+E93</f>
        <v>93985063.30976367</v>
      </c>
      <c r="G93" s="35">
        <f>'Water - Phase Costs'!$O$74/5</f>
        <v>6708933.0961851897</v>
      </c>
      <c r="H93" s="34">
        <f>G93+H89</f>
        <v>94452766.440541521</v>
      </c>
      <c r="I93" s="34">
        <f>F93-H93</f>
        <v>-467703.13077785075</v>
      </c>
      <c r="J93" s="34">
        <f>I93*(IF(L89&gt;0,$N$9,$N$6))</f>
        <v>-5916.444604339812</v>
      </c>
      <c r="K93" s="133">
        <f>(1+(IF(L89&gt;0,$N$9,$N$6)))*K89+J93</f>
        <v>1338802.3869241078</v>
      </c>
      <c r="L93" s="34">
        <f>I93+K93</f>
        <v>871099.25614625704</v>
      </c>
      <c r="M93" s="8"/>
    </row>
    <row r="94" spans="1:13" x14ac:dyDescent="0.25">
      <c r="A94" s="39">
        <v>2038</v>
      </c>
      <c r="B94" s="147">
        <f>'Population Projections'!$F$9/5</f>
        <v>604.79999999999995</v>
      </c>
      <c r="C94" s="89" t="s">
        <v>444</v>
      </c>
      <c r="D94" s="54">
        <f>VLOOKUP(A94,'Escalation Factors'!$E$17:$F$44,2,FALSE)</f>
        <v>1.3363263767831837</v>
      </c>
      <c r="E94" s="102">
        <f>B94*D94*'Water - Charge'!$D$40</f>
        <v>1351350.5143243962</v>
      </c>
      <c r="F94" s="103"/>
      <c r="G94" s="35"/>
      <c r="H94" s="34"/>
      <c r="I94" s="34"/>
      <c r="J94" s="34"/>
      <c r="K94" s="133"/>
      <c r="L94" s="34"/>
      <c r="M94" s="8"/>
    </row>
    <row r="95" spans="1:13" x14ac:dyDescent="0.25">
      <c r="A95" s="39">
        <v>2038</v>
      </c>
      <c r="B95" s="147">
        <f>'Population Projections'!$G$9/5</f>
        <v>1721.4</v>
      </c>
      <c r="C95" s="89" t="s">
        <v>445</v>
      </c>
      <c r="D95" s="54">
        <f>VLOOKUP(A95,'Escalation Factors'!$E$17:$F$44,2,FALSE)</f>
        <v>1.3363263767831837</v>
      </c>
      <c r="E95" s="102">
        <f>B95*D95*'Water - Charge'!$D$42</f>
        <v>2583305.3208933193</v>
      </c>
      <c r="F95" s="103"/>
      <c r="G95" s="35"/>
      <c r="H95" s="34"/>
      <c r="I95" s="34"/>
      <c r="J95" s="34"/>
      <c r="K95" s="133"/>
      <c r="L95" s="34"/>
      <c r="M95" s="8"/>
    </row>
    <row r="96" spans="1:13" x14ac:dyDescent="0.25">
      <c r="A96" s="39">
        <v>2038</v>
      </c>
      <c r="B96" s="147">
        <f>'Population Projections'!$J$9/5</f>
        <v>2233741</v>
      </c>
      <c r="C96" s="89" t="s">
        <v>446</v>
      </c>
      <c r="D96" s="54">
        <f>VLOOKUP(A96,'Escalation Factors'!$E$17:$F$44,2,FALSE)</f>
        <v>1.3363263767831837</v>
      </c>
      <c r="E96" s="102">
        <f>B96*D96*'Water - Charge'!$D$48</f>
        <v>2288446.9963908438</v>
      </c>
      <c r="F96" s="103"/>
      <c r="G96" s="35"/>
      <c r="H96" s="34"/>
      <c r="I96" s="34"/>
      <c r="J96" s="34"/>
      <c r="K96" s="133"/>
      <c r="L96" s="34"/>
      <c r="M96" s="8"/>
    </row>
    <row r="97" spans="1:14" x14ac:dyDescent="0.25">
      <c r="A97" s="137">
        <v>2038</v>
      </c>
      <c r="B97" s="152"/>
      <c r="C97" s="60"/>
      <c r="D97" s="55"/>
      <c r="E97" s="101">
        <f>SUBTOTAL(9,E94:E96)</f>
        <v>6223102.831608559</v>
      </c>
      <c r="F97" s="103">
        <f>F93+E97</f>
        <v>100208166.14137223</v>
      </c>
      <c r="G97" s="35">
        <f>'Water - Phase Costs'!$O$74/5</f>
        <v>6708933.0961851897</v>
      </c>
      <c r="H97" s="34">
        <f>G97+H93</f>
        <v>101161699.53672671</v>
      </c>
      <c r="I97" s="34">
        <f>F97-H97</f>
        <v>-953533.39535447955</v>
      </c>
      <c r="J97" s="34">
        <f>I97*(IF(L93&gt;0,$N$9,$N$6))</f>
        <v>-12062.197451234166</v>
      </c>
      <c r="K97" s="133">
        <f>(1+(IF(L93&gt;0,$N$9,$N$6)))*K93+J97</f>
        <v>1343676.0396674636</v>
      </c>
      <c r="L97" s="34">
        <f>I97+K97</f>
        <v>390142.64431298408</v>
      </c>
      <c r="M97" s="8"/>
    </row>
    <row r="98" spans="1:14" x14ac:dyDescent="0.25">
      <c r="A98" s="39">
        <v>2039</v>
      </c>
      <c r="B98" s="147">
        <f>'Population Projections'!$F$9/5</f>
        <v>604.79999999999995</v>
      </c>
      <c r="C98" s="89" t="s">
        <v>444</v>
      </c>
      <c r="D98" s="54">
        <f>VLOOKUP(A98,'Escalation Factors'!$E$17:$F$44,2,FALSE)</f>
        <v>1.3568739869304007</v>
      </c>
      <c r="E98" s="102">
        <f>B98*D98*'Water - Charge'!$D$40</f>
        <v>1372129.1384861225</v>
      </c>
      <c r="F98" s="103"/>
      <c r="G98" s="35"/>
      <c r="H98" s="34"/>
      <c r="I98" s="34"/>
      <c r="J98" s="34"/>
      <c r="K98" s="133"/>
      <c r="L98" s="34"/>
      <c r="M98" s="8"/>
    </row>
    <row r="99" spans="1:14" x14ac:dyDescent="0.25">
      <c r="A99" s="39">
        <v>2039</v>
      </c>
      <c r="B99" s="147">
        <f>'Population Projections'!$G$9/5</f>
        <v>1721.4</v>
      </c>
      <c r="C99" s="89" t="s">
        <v>445</v>
      </c>
      <c r="D99" s="54">
        <f>VLOOKUP(A99,'Escalation Factors'!$E$17:$F$44,2,FALSE)</f>
        <v>1.3568739869304007</v>
      </c>
      <c r="E99" s="102">
        <f>B99*D99*'Water - Charge'!$D$42</f>
        <v>2623026.7179615437</v>
      </c>
      <c r="F99" s="103"/>
      <c r="G99" s="35"/>
      <c r="H99" s="34"/>
      <c r="I99" s="34"/>
      <c r="J99" s="34"/>
      <c r="K99" s="133"/>
      <c r="L99" s="34"/>
      <c r="M99" s="8"/>
    </row>
    <row r="100" spans="1:14" x14ac:dyDescent="0.25">
      <c r="A100" s="39">
        <v>2039</v>
      </c>
      <c r="B100" s="147">
        <f>'Population Projections'!$J$9/5</f>
        <v>2233741</v>
      </c>
      <c r="C100" s="89" t="s">
        <v>446</v>
      </c>
      <c r="D100" s="54">
        <f>VLOOKUP(A100,'Escalation Factors'!$E$17:$F$44,2,FALSE)</f>
        <v>1.3568739869304007</v>
      </c>
      <c r="E100" s="102">
        <f>B100*D100*'Water - Charge'!$D$48</f>
        <v>2323634.5954245478</v>
      </c>
      <c r="F100" s="103"/>
      <c r="G100" s="35"/>
      <c r="H100" s="34"/>
      <c r="I100" s="34"/>
      <c r="J100" s="34"/>
      <c r="K100" s="133"/>
      <c r="L100" s="34"/>
      <c r="M100" s="8"/>
    </row>
    <row r="101" spans="1:14" ht="13" thickBot="1" x14ac:dyDescent="0.3">
      <c r="A101" s="217">
        <v>2039</v>
      </c>
      <c r="B101" s="218"/>
      <c r="C101" s="219"/>
      <c r="D101" s="220"/>
      <c r="E101" s="221">
        <f>SUBTOTAL(9,E98:E100)</f>
        <v>6318790.4518722137</v>
      </c>
      <c r="F101" s="222">
        <f>F97+E101</f>
        <v>106526956.59324445</v>
      </c>
      <c r="G101" s="223">
        <f>'Water - Phase Costs'!$O$74/5</f>
        <v>6708933.0961851897</v>
      </c>
      <c r="H101" s="224">
        <f>G101+H97</f>
        <v>107870632.63291191</v>
      </c>
      <c r="I101" s="224">
        <f>F101-H101</f>
        <v>-1343676.0396674573</v>
      </c>
      <c r="J101" s="224">
        <f>I101*(IF(L97&gt;0,$N$9,$N$6))</f>
        <v>-16997.501901793334</v>
      </c>
      <c r="K101" s="225">
        <f>(1+(IF(L97&gt;0,$N$9,$N$6)))*K97+J101</f>
        <v>1343676.0396674639</v>
      </c>
      <c r="L101" s="224">
        <f>I101+K101</f>
        <v>6.5192580223083496E-9</v>
      </c>
      <c r="M101" s="8"/>
    </row>
    <row r="102" spans="1:14" ht="13" thickTop="1" x14ac:dyDescent="0.25">
      <c r="A102" s="40"/>
      <c r="B102" s="153"/>
      <c r="C102" s="61"/>
      <c r="D102" s="17"/>
      <c r="E102" s="110"/>
      <c r="F102" s="28"/>
      <c r="G102" s="28"/>
      <c r="H102" s="28"/>
      <c r="I102" s="28"/>
      <c r="J102" s="28"/>
      <c r="K102" s="27"/>
      <c r="L102" s="27"/>
      <c r="M102" s="18"/>
    </row>
    <row r="103" spans="1:14" ht="13" x14ac:dyDescent="0.3">
      <c r="A103" s="4" t="s">
        <v>7</v>
      </c>
      <c r="B103" s="154"/>
      <c r="C103" s="90"/>
      <c r="D103" s="91"/>
      <c r="E103" s="92">
        <f>SUBTOTAL(9,E8:E101)</f>
        <v>106526956.59324442</v>
      </c>
      <c r="F103" s="92"/>
      <c r="G103" s="92">
        <f>SUBTOTAL(9,G8:G101)</f>
        <v>107870632.63291191</v>
      </c>
      <c r="H103" s="92"/>
      <c r="I103" s="92"/>
      <c r="J103" s="93"/>
      <c r="K103" s="131" t="s">
        <v>302</v>
      </c>
      <c r="L103" s="33">
        <v>-20167514.352186631</v>
      </c>
      <c r="M103" s="18"/>
    </row>
    <row r="104" spans="1:14" x14ac:dyDescent="0.25">
      <c r="A104" s="8"/>
      <c r="B104" s="153"/>
      <c r="C104" s="61"/>
      <c r="D104" s="17"/>
      <c r="E104" s="110"/>
      <c r="F104" s="28"/>
      <c r="G104" s="28"/>
      <c r="H104" s="28"/>
      <c r="I104" s="28"/>
      <c r="J104" s="28"/>
      <c r="M104" s="18"/>
    </row>
    <row r="105" spans="1:14" x14ac:dyDescent="0.25">
      <c r="A105" s="8"/>
      <c r="B105" s="212">
        <f>B98+B94+B90+B86+B82+B78+B74+B70+B66+B62+B58+B54+B50+B46+B42+B38+B34+B30+B26+B22+B18</f>
        <v>11389.8</v>
      </c>
      <c r="C105" s="61" t="s">
        <v>444</v>
      </c>
      <c r="D105" s="211">
        <f>B105*'Population Projections'!G15</f>
        <v>23235.191999999999</v>
      </c>
      <c r="E105" s="110"/>
      <c r="F105" s="28"/>
      <c r="G105" s="25"/>
      <c r="H105" s="28"/>
      <c r="I105" s="28"/>
      <c r="M105" s="18"/>
    </row>
    <row r="106" spans="1:14" x14ac:dyDescent="0.25">
      <c r="A106" s="8"/>
      <c r="B106" s="212">
        <f t="shared" ref="B106:B107" si="0">B99+B95+B91+B87+B83+B79+B75+B71+B67+B63+B59+B55+B51+B47+B43+B39+B35+B31+B27+B23+B19</f>
        <v>32418.799999999988</v>
      </c>
      <c r="C106" s="61" t="s">
        <v>445</v>
      </c>
      <c r="D106" s="211">
        <f>B106*'Population Projections'!G15</f>
        <v>66134.351999999984</v>
      </c>
      <c r="E106" s="18"/>
      <c r="F106" s="20"/>
      <c r="G106" s="20"/>
      <c r="H106" s="28"/>
      <c r="I106" s="28"/>
      <c r="J106" s="28"/>
      <c r="K106" s="27"/>
      <c r="L106" s="27"/>
      <c r="M106" s="18"/>
    </row>
    <row r="107" spans="1:14" ht="13" thickBot="1" x14ac:dyDescent="0.3">
      <c r="A107" s="8"/>
      <c r="B107" s="212">
        <f t="shared" si="0"/>
        <v>42068949.20000001</v>
      </c>
      <c r="C107" s="61" t="s">
        <v>446</v>
      </c>
      <c r="D107" s="213">
        <f>B107/'Population Projections'!G22</f>
        <v>51980.199715749055</v>
      </c>
      <c r="E107" s="18"/>
      <c r="F107" s="20"/>
      <c r="G107" s="20"/>
      <c r="H107" s="20"/>
      <c r="I107" s="28"/>
      <c r="J107" s="28"/>
      <c r="K107" s="27"/>
      <c r="L107" s="27"/>
      <c r="M107" s="18"/>
    </row>
    <row r="108" spans="1:14" ht="13" thickTop="1" x14ac:dyDescent="0.25">
      <c r="A108" s="8"/>
      <c r="B108" s="153"/>
      <c r="C108" s="61"/>
      <c r="D108" s="211">
        <f>SUM(D105:D107)</f>
        <v>141349.74371574903</v>
      </c>
      <c r="E108" s="104" t="s">
        <v>815</v>
      </c>
      <c r="F108" s="5"/>
      <c r="G108" s="214">
        <f>H101-'Water - Phase Costs'!O77</f>
        <v>0</v>
      </c>
      <c r="H108" s="215" t="s">
        <v>816</v>
      </c>
      <c r="I108" s="28"/>
      <c r="N108" s="22" t="s">
        <v>25</v>
      </c>
    </row>
    <row r="109" spans="1:14" x14ac:dyDescent="0.25">
      <c r="E109" s="104"/>
      <c r="F109" s="5"/>
      <c r="G109" s="5"/>
    </row>
    <row r="110" spans="1:14" x14ac:dyDescent="0.25">
      <c r="E110" s="105"/>
      <c r="F110" s="5"/>
      <c r="G110" s="5"/>
    </row>
  </sheetData>
  <dataConsolidate/>
  <pageMargins left="0.5" right="0.5" top="0.5" bottom="0.5" header="0" footer="0"/>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b 9 a c a c 4 0 - 8 8 a 3 - 4 2 6 d - b a 0 c - 6 1 f a 9 1 f d 0 f 5 2 "   x m l n s = " h t t p : / / s c h e m a s . m i c r o s o f t . c o m / D a t a M a s h u p " > A A A A A K k H A A B Q S w M E F A A C A A g A 5 U k W T 7 R o 5 K K n A A A A + A A A A B I A H A B D b 2 5 m a W c v U G F j a 2 F n Z S 5 4 b W w g o h g A K K A U A A A A A A A A A A A A A A A A A A A A A A A A A A A A h Y 9 N D o I w G E S v Q r q n P 4 A J I R 9 l 4 V Y S E 6 J x 2 9 Q K j V A M L Z a 7 u f B I X k E S R d 2 5 n M m b 5 M 3 j d o d i 6 t r g q g a r e 5 M j h i k K l J H 9 U Z s 6 R 6 M 7 h S k q O G y F P I t a B T N s b D Z Z n a P G u U t G i P c e + x j 3 Q 0 0 i S h k 5 l J t K N q o T o T b W C S M V + q y O / 1 e I w / 4 l w y O c M J y s U o Z j y o A s N Z T a f J F o N s Y U y E 8 J 6 7 F 1 4 6 C 4 M u G u A r J E I O 8 X / A l Q S w M E F A A C A A g A 5 U k W 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V J F k / F z 3 Z / o A Q A A A U Q A A A T A B w A R m 9 y b X V s Y X M v U 2 V j d G l v b j E u b S C i G A A o o B Q A A A A A A A A A A A A A A A A A A A A A A A A A A A C d V 1 t z 6 z Q Q f u 9 M / o P G h c E u b t I E K B y Y M t M r F E o o S a A P G Q + j x k r j U 1 s K k t z L Z P L f W c m y o 9 h y w q E v 3 W h v 3 1 6 0 W g s y k w m j a F z 8 7 / / Q O e g c i A X m J E a H 3 g O W h K N 7 w h M W C w + d o Z T I A w R / Y 5 b z G Y E D L W E E 7 h I h Q 8 0 + 9 E Y k Y y 9 g Y 8 K W a M R e t f I E P 6 a k O 3 5 O l n 6 h H w 7 6 Q a l w z 1 n G J G j 8 T H B M u K V g O O b c d 9 g O 0 d Q I n a f p e I Z T z M W Z 5 D m J g j q e C y Y l y 2 q Q C u Y d F n L o O 5 C E p 0 H Y M X Z u k h Q C B m Y t K J J C A t W Z 7 / Y V I o J n C + R P g X 1 1 i c D H R 1 A 4 9 N N 5 c E t n a R 6 T u D d k E p U / v A h s e 9 W v o B H I J U v z j D a C M M d + H W m 4 8 g r W 4 D v A U t L f W v S p R X 9 j 0 V 9 b 9 F c W P b D o v k W f b O j + B 4 v W f i 8 m 1 0 g H / R n y B y f 9 D 4 E 6 / I m z V 7 l o n t 8 z I U 3 z a d 4 F o W S e y K b g e f w x F 6 p i K r U N 7 o g I N 2 P I 6 H E r 8 7 9 V a V 3 V 5 X K B 6 Z N q y v c l 2 R R l w j E V c 8 a z I g m K a X d I W c R w t d r K g v + 5 w g C h z w i V + A n s g O I 6 R C u V w D 0 S B r Q A 4 5 C + v X 9 W z J c 5 5 4 T O 3 i 1 b 7 g r s Q L D e X J U R W a Y Y h g S Y P 0 W Q A y C g O a x + 1 e y / c J o T v 5 a / 0 F N K x 6 D Q 1 / T g x N B G i Z f a E / I m o b U t i C P y z x d 2 X X 4 j X J n 9 I w c R Y l 2 X I V E d 8 w t L q N 8 G 1 W k 4 P P S u h R o x e m z e 4 J l k X G x E Q c D T D u B 6 K O O / J j T u 3 p G 5 / D 2 H 2 1 i h u n 5 b Y h q r c A v Z C l b B 0 H T R H H 4 j B G j O 0 g O U q E D g 6 X I V x 9 3 y q P J 2 H s f I g N Z N J 6 S V C G B W n u q w w F V d z w y y Y Z 4 9 q j K w n M Z q q P 3 f r o u O p l u o o 3 A Q b F p I A b 9 k V M A s L 5 6 p W 6 p m G n j Y E Y Q r W j 2 G H H b c 4 d S 0 o 6 N b + q L V G + A m T O J U D Z B 2 K L v w q 1 J W F g y U h v c v p 0 4 T 0 R Y S k L 5 J O F E j S 5 o n X W m 3 w 7 L 9 e j V V d 1 Y q j e h I y S v z 9 X w o z D C J W d b q t w 2 n n Q l 0 R 4 S o i 1 X p 2 c A 4 n t Z k t l O C y v d C M n T 9 B r t J Q p 9 2 4 T L I 1 S v l U G z p e 3 s e q 1 7 e G U O j u S u v / f Z C u c H Y o 7 k U c W L 0 9 2 E 6 n j o 8 R M G R u t R 7 x n 9 7 P I P 9 i d Y 7 w 5 D I 2 l 3 d 0 3 u f E s P x 1 J G k A r P j 0 e 7 v f b W 3 A 1 R v d n P M N N / Q t r n T l G x 2 f F N m 7 y V p q r g b a O d j b 3 V U U 8 5 Z s 2 2 x d d A 5 S G j H m e X t L w z H W + r 6 z N i I G S n 7 W + M T V i / z 3 b G q n u s Q S W A g C X v E 2 n p O z T H V T Q j h Q D Q u Z 3 Y s u s 5 Q X w D g c y U z x B k J 0 N m P k P U Z S b t F h u Q D 4 8 + P j D 3 7 w W q q J M 4 q 2 W i t B r 0 E m W h 1 o m i 9 N k e 2 D 2 c a n P n a 6 b L c H y y P Z Y C F B d t n / Q u v 3 V 3 l 5 4 E 8 d o 1 h 4 X s L K Z f i + 1 5 v M X 9 7 V b a 6 2 v A S l i P Z n b G s J x J J R I + T J w g L p w m d c 1 x c m J y r t Y z 2 R o a F r s g L S d k y A 7 s I 6 g B b E f p z G Y P N n r o Q 4 z z L M H / X + 9 s D m C D a G 4 K F p o i h + 5 a K z A t C q G q a Q o H h + 9 A M A s 3 + e 7 w g R E V X R L W a 3 k q S n X m l V S 3 j h W q f g 0 M l q t J 3 h S W O D s r k W X b s D J b b Q 5 G 5 z n b q y r b x t w Z F N S e s i 9 Q s T f k M 7 z G s x K w Z 0 T T 5 L 1 B L A Q I t A B Q A A g A I A O V J F k + 0 a O S i p w A A A P g A A A A S A A A A A A A A A A A A A A A A A A A A A A B D b 2 5 m a W c v U G F j a 2 F n Z S 5 4 b W x Q S w E C L Q A U A A I A C A D l S R Z P D 8 r p q 6 Q A A A D p A A A A E w A A A A A A A A A A A A A A A A D z A A A A W 0 N v b n R l b n R f V H l w Z X N d L n h t b F B L A Q I t A B Q A A g A I A O V J F k / F z 3 Z / o A Q A A A U Q A A A T A A A A A A A A A A A A A A A A A O Q B A A B G b 3 J t d W x h c y 9 T Z W N 0 a W 9 u M S 5 t U E s F B g A A A A A D A A M A w g A A A N E G A A A A A E U 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V 2 9 y a 2 J v b 2 t H c m 9 1 c F R 5 c G U + T 3 J n Y W 5 p e m F 0 a W 9 u Y W w 8 L 1 d v c m t i b 2 9 r R 3 J v d X B U e X B l P j w v U G V y b W l z c 2 l v b k x p c 3 Q + P F Q A A A A A A A A a V A 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F 1 Z X J 5 R 3 J v d X B z I i B W Y W x 1 Z T 0 i c 0 F B Q U F B Q T 0 9 I i A v P j x F b n R y e S B U e X B l P S J S Z W x h d G l v b n N o a X B z I i B W Y W x 1 Z T 0 i c 0 F B Q U F B Q T 0 9 I i A v P j w v U 3 R h Y m x l R W 5 0 c m l l c z 4 8 L 0 l 0 Z W 0 + P E l 0 Z W 0 + P E l 0 Z W 1 M b 2 N h d G l v b j 4 8 S X R l b V R 5 c G U + R m 9 y b X V s Y T w v S X R l b V R 5 c G U + P E l 0 Z W 1 Q Y X R o P l N l Y 3 R p b 2 4 x L 1 d h d G V y J T I w U G V y a W 9 k c z 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O Y W 1 l V X B k Y X R l Z E F m d G V y R m l s b C I g V m F s d W U 9 I m w w I i A v P j x F b n R y e S B U e X B l P S J G a W x s U 3 R h d H V z I i B W Y W x 1 Z T 0 i c 0 N v b X B s Z X R l I i A v P j x F b n R y e S B U e X B l P S J G a W x s Q 2 9 1 b n Q i I F Z h b H V l P S J s N T c i I C 8 + P E V u d H J 5 I F R 5 c G U 9 I k Z p b G x F c n J v c k N v d W 5 0 I i B W Y W x 1 Z T 0 i b D E y I i A v P j x F b n R y e S B U e X B l P S J G a W x s Q 2 9 s d W 1 u T m F t Z X M i I F Z h b H V l P S J z W y Z x d W 9 0 O 1 B y b 2 p l Y 3 Q g S U Q m c X V v d D s s J n F 1 b 3 Q 7 U H J v a m V j d C B E Z X N j c m l w d G l v b i Z x d W 9 0 O y w m c X V v d D t T e X N 0 Z W 0 m c X V v d D s s J n F 1 b 3 Q 7 U H J v a m V j d H M g Q 2 9 z d C A g I C A g I C A g I C A g I C A g I C A g I C A g I C A g I C A g I C A g I C A g I C A k I C g y M D E 5 K S Z x d W 9 0 O y w m c X V v d D t H c m 9 3 d G g g X G 4 o J S k m c X V v d D s s J n F 1 b 3 Q 7 Q l R F X G 4 o J S k m c X V v d D s s J n F 1 b 3 Q 7 U G 9 z d C B Q Z X J p b 2 R c b k J l b m V m a X R c b i g l K S Z x d W 9 0 O y w m c X V v d D t Q Z X J p b 2 R c b l J l c V x 1 M D A y N 2 Q m c X V v d D s s J n F 1 b 3 Q 7 Q l R F I E F s b G 9 j Y X R p b 2 5 c b k F w c H J v Y W N o J n F 1 b 3 Q 7 L C Z x d W 9 0 O 1 J h d G l v b m F s I G Z v c i B C V E U g K C U p J n F 1 b 3 Q 7 L C Z x d W 9 0 O 1 R h Y m x l M i 5 G Y W N 0 b 3 I m c X V v d D s s J n F 1 b 3 Q 7 R X N j Y W x h d G V k I E N v c 3 R z J n F 1 b 3 Q 7 L C Z x d W 9 0 O 0 N v b n N 0 c n V j d G l v b i B J b n R l c m V z d C Z x d W 9 0 O y w m c X V v d D t U b 3 R h b C B S R E M m c X V v d D s s J n F 1 b 3 Q 7 R m l y Z S B Q c m 9 0 Z W N 0 a W 9 u J n F 1 b 3 Q 7 L C Z x d W 9 0 O 1 R v d G F s I F J E Q y B M Z X N z I E Z p c m U g U H J v d G V j d G l v b i Z x d W 9 0 O y w m c X V v d D t C Z W 5 l Z m l 0 I H R v I E V 4 a X N 0 a W 5 n J n F 1 b 3 Q 7 L C Z x d W 9 0 O 1 B v c 3 Q g U G V y a W 9 k I E J l b m V m a X Q m c X V v d D s s J n F 1 b 3 Q 7 T m V 0 I E V z Y 2 F s Y X R l Z C B D b 3 N 0 J n F 1 b 3 Q 7 X S I g L z 4 8 R W 5 0 c n k g V H l w Z T 0 i R m l s b E N v b H V t b l R 5 c G V z I i B W Y W x 1 Z T 0 i c 0 F B Q U F F U V F F Q k F Z Q U F B V V J F U U F S R V J F U k V R P T 0 i I C 8 + P E V u d H J 5 I F R 5 c G U 9 I k Z p b G x F c n J v c k N v Z G U i I F Z h b H V l P S J z V W 5 r b m 9 3 b i I g L z 4 8 R W 5 0 c n k g V H l w Z T 0 i R m l s b E x h c 3 R V c G R h d G V k I i B W Y W x 1 Z T 0 i Z D I w M T k t M D g t M j J U M T I 6 M T A 6 M z U u M j Y z M D Y y M F o i I C 8 + P E V u d H J 5 I F R 5 c G U 9 I l J l c 3 V s d F R 5 c G U i I F Z h b H V l P S J z V G F i b G U i I C 8 + P E V u d H J 5 I F R 5 c G U 9 I k J 1 Z m Z l c k 5 l e H R S Z W Z y Z X N o I i B W Y W x 1 Z T 0 i b D E i I C 8 + P E V u d H J 5 I F R 5 c G U 9 I k F k Z G V k V G 9 E Y X R h T W 9 k Z W w i I F Z h b H V l P S J s M C I g L z 4 8 R W 5 0 c n k g V H l w Z T 0 i R m l s b G V k Q 2 9 t c G x l d G V S Z X N 1 b H R U b 1 d v c m t z a G V l d C I g V m F s d W U 9 I m w x I i A v P j x F b n R y e S B U e X B l P S J G a W x s V G F y Z 2 V 0 I i B W Y W x 1 Z T 0 i c 1 d h d G V y X 1 B l c m l v Z H M i I C 8 + P E V u d H J 5 I F R 5 c G U 9 I l F 1 Z X J 5 S U Q i I F Z h b H V l P S J z M T E 5 O D R l Z m I t Z T g x O C 0 0 Z G E 4 L W E x M j k t M m J l N T A x Z D k 0 Y m N m I i A v P j x F b n R y e S B U e X B l P S J S Z W x h d G l v b n N o a X B J b m Z v Q 2 9 u d G F p b m V y I i B W Y W x 1 Z T 0 i c 3 s m c X V v d D t j b 2 x 1 b W 5 D b 3 V u d C Z x d W 9 0 O z o x O S w m c X V v d D t r Z X l D b 2 x 1 b W 5 O Y W 1 l c y Z x d W 9 0 O z p b X S w m c X V v d D t x d W V y e V J l b G F 0 a W 9 u c 2 h p c H M m c X V v d D s 6 W 3 s m c X V v d D t r Z X l D b 2 x 1 b W 5 D b 3 V u d C Z x d W 9 0 O z o x L C Z x d W 9 0 O 2 t l e U N v b H V t b i Z x d W 9 0 O z o 3 L C Z x d W 9 0 O 2 9 0 a G V y S 2 V 5 Q 2 9 s d W 1 u S W R l b n R p d H k m c X V v d D s 6 J n F 1 b 3 Q 7 U 2 V j d G l v b j E v R X N j Y W x h d G l v b i B G Y W N 0 b 3 J z L 0 N o Y W 5 n Z W Q g V H l w Z S 5 7 U G V y a W 9 k L D B 9 J n F 1 b 3 Q 7 L C Z x d W 9 0 O 0 t l e U N v b H V t b k N v d W 5 0 J n F 1 b 3 Q 7 O j F 9 X S w m c X V v d D t j b 2 x 1 b W 5 J Z G V u d G l 0 a W V z J n F 1 b 3 Q 7 O l s m c X V v d D t T Z W N 0 a W 9 u M S 9 X Y X R l c i B Q Z X J p b 2 R z L 1 J l b W 9 2 Z W Q g Q m 9 0 d G 9 t I F J v d 3 M u e 1 B y b 2 p l Y 3 Q g S U Q s M H 0 m c X V v d D s s J n F 1 b 3 Q 7 U 2 V j d G l v b j E v V 2 F 0 Z X I g U G V y a W 9 k c y 9 S Z W 1 v d m V k I E J v d H R v b S B S b 3 d z L n t Q c m 9 q Z W N 0 I E R l c 2 N y a X B 0 a W 9 u L D F 9 J n F 1 b 3 Q 7 L C Z x d W 9 0 O 1 N l Y 3 R p b 2 4 x L 1 d h d G V y I F B l c m l v Z H M v U m V t b 3 Z l Z C B C b 3 R 0 b 2 0 g U m 9 3 c y 5 7 U 3 l z d G V t L D J 9 J n F 1 b 3 Q 7 L C Z x d W 9 0 O 1 N l Y 3 R p b 2 4 x L 1 d h d G V y I F B l c m l v Z H M v Q 2 h h b m d l Z C B U e X B l L n t Q c m 9 q Z W N 0 c y B D b 3 N 0 I C A g I C A g I C A g I C A g I C A g I C A g I C A g I C A g I C A g I C A g I C A g I C Q g K D I w M T k p L D N 9 J n F 1 b 3 Q 7 L C Z x d W 9 0 O 1 N l Y 3 R p b 2 4 x L 1 d h d G V y I F B l c m l v Z H M v Q 2 h h b m d l Z C B U e X B l L n t H c m 9 3 d G g g X G 4 o J S k s N H 0 m c X V v d D s s J n F 1 b 3 Q 7 U 2 V j d G l v b j E v V 2 F 0 Z X I g U G V y a W 9 k c y 9 D a G F u Z 2 V k I F R 5 c G U u e 0 J U R V x u K C U p L D V 9 J n F 1 b 3 Q 7 L C Z x d W 9 0 O 1 N l Y 3 R p b 2 4 x L 1 d h d G V y I F B l c m l v Z H M v Q 2 h h b m d l Z C B U e X B l L n t Q b 3 N 0 I F B l c m l v Z F x u Q m V u Z W Z p d F x u K C U p L D Z 9 J n F 1 b 3 Q 7 L C Z x d W 9 0 O 1 N l Y 3 R p b 2 4 x L 1 d h d G V y I F B l c m l v Z H M v U m V w b G F j Z S A y M D E 2 I G Z v c i A y M D I w L n t Q Z X J p b 2 R c b l J l c V x 1 M D A y N 2 Q s N 3 0 m c X V v d D s s J n F 1 b 3 Q 7 U 2 V j d G l v b j E v V 2 F 0 Z X I g U G V y a W 9 k c y 9 S Z W 1 v d m V k I E J v d H R v b S B S b 3 d z L n t C V E U g Q W x s b 2 N h d G l v b l x u Q X B w c m 9 h Y 2 g s M T V 9 J n F 1 b 3 Q 7 L C Z x d W 9 0 O 1 N l Y 3 R p b 2 4 x L 1 d h d G V y I F B l c m l v Z H M v U m V t b 3 Z l Z C B C b 3 R 0 b 2 0 g U m 9 3 c y 5 7 U m F 0 a W 9 u Y W w g Z m 9 y I E J U R S A o J S k s M T Z 9 J n F 1 b 3 Q 7 L C Z x d W 9 0 O 1 N l Y 3 R p b 2 4 x L 0 V z Y 2 F s Y X R p b 2 4 g R m F j d G 9 y c y 9 D a G F u Z 2 V k I F R 5 c G U u e 0 Z h Y 3 R v c i w x f S Z x d W 9 0 O y w m c X V v d D t T Z W N 0 a W 9 u M S 9 X Y X R l c i B Q Z X J p b 2 R z L 0 N o Y W 5 n Z W Q g V H l w Z T E u e 0 V z Y 2 F s Y X R l Z C B D b 3 N 0 c y w x M X 0 m c X V v d D s s J n F 1 b 3 Q 7 U 2 V j d G l v b j E v V 2 F 0 Z X I g U G V y a W 9 k c y 9 D a G F u Z 2 V k I F R 5 c G U x L n t D b 2 5 z d H J 1 Y 3 R p b 2 4 g S W 5 0 Z X J l c 3 Q s M T J 9 J n F 1 b 3 Q 7 L C Z x d W 9 0 O 1 N l Y 3 R p b 2 4 x L 1 d h d G V y I F B l c m l v Z H M v Q W R k I F R v d G F s I F J E Q y 5 7 V G 9 0 Y W w g U k R D L D E z f S Z x d W 9 0 O y w m c X V v d D t T Z W N 0 a W 9 u M S 9 X Y X R l c i B Q Z X J p b 2 R z L 0 N o Y W 5 n Z W Q g V H l w Z T E u e 0 Z p c m U g U H J v d G V j d G l v b i w x N H 0 m c X V v d D s s J n F 1 b 3 Q 7 U 2 V j d G l v b j E v V 2 F 0 Z X I g U G V y a W 9 k c y 9 D a G F u Z 2 V k I F R 5 c G U x L n t U b 3 R h b C B S R E M g T G V z c y B G a X J l I F B y b 3 R l Y 3 R p b 2 4 s M T V 9 J n F 1 b 3 Q 7 L C Z x d W 9 0 O 1 N l Y 3 R p b 2 4 x L 1 d h d G V y I F B l c m l v Z H M v Q 2 h h b m d l Z C B U e X B l M S 5 7 Q m V u Z W Z p d C B 0 b y B F e G l z d G l u Z y w x N n 0 m c X V v d D s s J n F 1 b 3 Q 7 U 2 V j d G l v b j E v V 2 F 0 Z X I g U G V y a W 9 k c y 9 D a G F u Z 2 V k I F R 5 c G U x L n t Q b 3 N 0 I F B l c m l v Z C B C Z W 5 l Z m l 0 L D E 3 f S Z x d W 9 0 O y w m c X V v d D t T Z W N 0 a W 9 u M S 9 X Y X R l c i B Q Z X J p b 2 R z L 0 N o Y W 5 n Z W Q g V H l w Z T E u e 0 5 l d C B F c 2 N h b G F 0 Z W Q g Q 2 9 z d C w x O H 0 m c X V v d D t d L C Z x d W 9 0 O 0 N v b H V t b k N v d W 5 0 J n F 1 b 3 Q 7 O j E 5 L C Z x d W 9 0 O 0 t l e U N v b H V t b k 5 h b W V z J n F 1 b 3 Q 7 O l t d L C Z x d W 9 0 O 0 N v b H V t b k l k Z W 5 0 a X R p Z X M m c X V v d D s 6 W y Z x d W 9 0 O 1 N l Y 3 R p b 2 4 x L 1 d h d G V y I F B l c m l v Z H M v U m V t b 3 Z l Z C B C b 3 R 0 b 2 0 g U m 9 3 c y 5 7 U H J v a m V j d C B J R C w w f S Z x d W 9 0 O y w m c X V v d D t T Z W N 0 a W 9 u M S 9 X Y X R l c i B Q Z X J p b 2 R z L 1 J l b W 9 2 Z W Q g Q m 9 0 d G 9 t I F J v d 3 M u e 1 B y b 2 p l Y 3 Q g R G V z Y 3 J p c H R p b 2 4 s M X 0 m c X V v d D s s J n F 1 b 3 Q 7 U 2 V j d G l v b j E v V 2 F 0 Z X I g U G V y a W 9 k c y 9 S Z W 1 v d m V k I E J v d H R v b S B S b 3 d z L n t T e X N 0 Z W 0 s M n 0 m c X V v d D s s J n F 1 b 3 Q 7 U 2 V j d G l v b j E v V 2 F 0 Z X I g U G V y a W 9 k c y 9 D a G F u Z 2 V k I F R 5 c G U u e 1 B y b 2 p l Y 3 R z I E N v c 3 Q g I C A g I C A g I C A g I C A g I C A g I C A g I C A g I C A g I C A g I C A g I C A g J C A o M j A x O S k s M 3 0 m c X V v d D s s J n F 1 b 3 Q 7 U 2 V j d G l v b j E v V 2 F 0 Z X I g U G V y a W 9 k c y 9 D a G F u Z 2 V k I F R 5 c G U u e 0 d y b 3 d 0 a C B c b i g l K S w 0 f S Z x d W 9 0 O y w m c X V v d D t T Z W N 0 a W 9 u M S 9 X Y X R l c i B Q Z X J p b 2 R z L 0 N o Y W 5 n Z W Q g V H l w Z S 5 7 Q l R F X G 4 o J S k s N X 0 m c X V v d D s s J n F 1 b 3 Q 7 U 2 V j d G l v b j E v V 2 F 0 Z X I g U G V y a W 9 k c y 9 D a G F u Z 2 V k I F R 5 c G U u e 1 B v c 3 Q g U G V y a W 9 k X G 5 C Z W 5 l Z m l 0 X G 4 o J S k s N n 0 m c X V v d D s s J n F 1 b 3 Q 7 U 2 V j d G l v b j E v V 2 F 0 Z X I g U G V y a W 9 k c y 9 S Z X B s Y W N l I D I w M T Y g Z m 9 y I D I w M j A u e 1 B l c m l v Z F x u U m V x X H U w M D I 3 Z C w 3 f S Z x d W 9 0 O y w m c X V v d D t T Z W N 0 a W 9 u M S 9 X Y X R l c i B Q Z X J p b 2 R z L 1 J l b W 9 2 Z W Q g Q m 9 0 d G 9 t I F J v d 3 M u e 0 J U R S B B b G x v Y 2 F 0 a W 9 u X G 5 B c H B y b 2 F j a C w x N X 0 m c X V v d D s s J n F 1 b 3 Q 7 U 2 V j d G l v b j E v V 2 F 0 Z X I g U G V y a W 9 k c y 9 S Z W 1 v d m V k I E J v d H R v b S B S b 3 d z L n t S Y X R p b 2 5 h b C B m b 3 I g Q l R F I C g l K S w x N n 0 m c X V v d D s s J n F 1 b 3 Q 7 U 2 V j d G l v b j E v R X N j Y W x h d G l v b i B G Y W N 0 b 3 J z L 0 N o Y W 5 n Z W Q g V H l w Z S 5 7 R m F j d G 9 y L D F 9 J n F 1 b 3 Q 7 L C Z x d W 9 0 O 1 N l Y 3 R p b 2 4 x L 1 d h d G V y I F B l c m l v Z H M v Q 2 h h b m d l Z C B U e X B l M S 5 7 R X N j Y W x h d G V k I E N v c 3 R z L D E x f S Z x d W 9 0 O y w m c X V v d D t T Z W N 0 a W 9 u M S 9 X Y X R l c i B Q Z X J p b 2 R z L 0 N o Y W 5 n Z W Q g V H l w Z T E u e 0 N v b n N 0 c n V j d G l v b i B J b n R l c m V z d C w x M n 0 m c X V v d D s s J n F 1 b 3 Q 7 U 2 V j d G l v b j E v V 2 F 0 Z X I g U G V y a W 9 k c y 9 B Z G Q g V G 9 0 Y W w g U k R D L n t U b 3 R h b C B S R E M s M T N 9 J n F 1 b 3 Q 7 L C Z x d W 9 0 O 1 N l Y 3 R p b 2 4 x L 1 d h d G V y I F B l c m l v Z H M v Q 2 h h b m d l Z C B U e X B l M S 5 7 R m l y Z S B Q c m 9 0 Z W N 0 a W 9 u L D E 0 f S Z x d W 9 0 O y w m c X V v d D t T Z W N 0 a W 9 u M S 9 X Y X R l c i B Q Z X J p b 2 R z L 0 N o Y W 5 n Z W Q g V H l w Z T E u e 1 R v d G F s I F J E Q y B M Z X N z I E Z p c m U g U H J v d G V j d G l v b i w x N X 0 m c X V v d D s s J n F 1 b 3 Q 7 U 2 V j d G l v b j E v V 2 F 0 Z X I g U G V y a W 9 k c y 9 D a G F u Z 2 V k I F R 5 c G U x L n t C Z W 5 l Z m l 0 I H R v I E V 4 a X N 0 a W 5 n L D E 2 f S Z x d W 9 0 O y w m c X V v d D t T Z W N 0 a W 9 u M S 9 X Y X R l c i B Q Z X J p b 2 R z L 0 N o Y W 5 n Z W Q g V H l w Z T E u e 1 B v c 3 Q g U G V y a W 9 k I E J l b m V m a X Q s M T d 9 J n F 1 b 3 Q 7 L C Z x d W 9 0 O 1 N l Y 3 R p b 2 4 x L 1 d h d G V y I F B l c m l v Z H M v Q 2 h h b m d l Z C B U e X B l M S 5 7 T m V 0 I E V z Y 2 F s Y X R l Z C B D b 3 N 0 L D E 4 f S Z x d W 9 0 O 1 0 s J n F 1 b 3 Q 7 U m V s Y X R p b 2 5 z a G l w S W 5 m b y Z x d W 9 0 O z p b e y Z x d W 9 0 O 2 t l e U N v b H V t b k N v d W 5 0 J n F 1 b 3 Q 7 O j E s J n F 1 b 3 Q 7 a 2 V 5 Q 2 9 s d W 1 u J n F 1 b 3 Q 7 O j c s J n F 1 b 3 Q 7 b 3 R o Z X J L Z X l D b 2 x 1 b W 5 J Z G V u d G l 0 e S Z x d W 9 0 O z o m c X V v d D t T Z W N 0 a W 9 u M S 9 F c 2 N h b G F 0 a W 9 u I E Z h Y 3 R v c n M v Q 2 h h b m d l Z C B U e X B l L n t Q Z X J p b 2 Q s M H 0 m c X V v d D s s J n F 1 b 3 Q 7 S 2 V 5 Q 2 9 s d W 1 u Q 2 9 1 b n Q m c X V v d D s 6 M X 1 d f S I g L z 4 8 L 1 N 0 Y W J s Z U V u d H J p Z X M + P C 9 J d G V t P j x J d G V t P j x J d G V t T G 9 j Y X R p b 2 4 + P E l 0 Z W 1 U e X B l P k Z v c m 1 1 b G E 8 L 0 l 0 Z W 1 U e X B l P j x J d G V t U G F 0 a D 5 T Z W N 0 a W 9 u M S 9 F c 2 N h b G F 0 a W 9 u J T I w R m F j d G 9 y c 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G a W x s T G F z d F V w Z G F 0 Z W Q i I F Z h b H V l P S J k M j A x O S 0 w O C 0 y M V Q x O T o w M T o z M y 4 3 O D E 2 O D A 1 W i I g L z 4 8 R W 5 0 c n k g V H l w Z T 0 i R m l s b E V y c m 9 y Q 2 9 k Z S I g V m F s d W U 9 I n N V b m t u b 3 d u I i A v P j x F b n R y e S B U e X B l P S J G a W x s U 3 R h d H V z I i B W Y W x 1 Z T 0 i c 0 N v b X B s Z X R l I i A v P j x F b n R y e S B U e X B l P S J B Z G R l Z F R v R G F 0 Y U 1 v Z G V s I i B W Y W x 1 Z T 0 i b D A i I C 8 + P E V u d H J 5 I F R 5 c G U 9 I k Z p b G x l Z E N v b X B s Z X R l U m V z d W x 0 V G 9 X b 3 J r c 2 h l Z X Q i I F Z h b H V l P S J s M C I g L z 4 8 R W 5 0 c n k g V H l w Z T 0 i T m F t Z V V w Z G F 0 Z W R B Z n R l c k Z p b G w i I F Z h b H V l P S J s M S I g L z 4 8 L 1 N 0 Y W J s Z U V u d H J p Z X M + P C 9 J d G V t P j x J d G V t P j x J d G V t T G 9 j Y X R p b 2 4 + P E l 0 Z W 1 U e X B l P k Z v c m 1 1 b G E 8 L 0 l 0 Z W 1 U e X B l P j x J d G V t U G F 0 a D 5 T Z W N 0 a W 9 u M S 9 F c 2 N h b G F 0 a W 9 u J T I w R m F j d G 9 y c y 9 T b 3 V y Y 2 U 8 L 0 l 0 Z W 1 Q Y X R o P j w v S X R l b U x v Y 2 F 0 a W 9 u P j x T d G F i b G V F b n R y a W V z I C 8 + P C 9 J d G V t P j x J d G V t P j x J d G V t T G 9 j Y X R p b 2 4 + P E l 0 Z W 1 U e X B l P k Z v c m 1 1 b G E 8 L 0 l 0 Z W 1 U e X B l P j x J d G V t U G F 0 a D 5 T Z W N 0 a W 9 u M S 9 F c 2 N h b G F 0 a W 9 u J T I w R m F j d G 9 y c y 9 D a G F u Z 2 V k J T I w V H l w Z T w v S X R l b V B h d G g + P C 9 J d G V t T G 9 j Y X R p b 2 4 + P F N 0 Y W J s Z U V u d H J p Z X M g L z 4 8 L 0 l 0 Z W 0 + P E l 0 Z W 0 + P E l 0 Z W 1 M b 2 N h d G l v b j 4 8 S X R l b V R 5 c G U + R m 9 y b X V s Y T w v S X R l b V R 5 c G U + P E l 0 Z W 1 Q Y X R o P l N l Y 3 R p b 2 4 x L 0 N v b n N 0 S W 5 0 P C 9 J d G V t U G F 0 a D 4 8 L 0 l 0 Z W 1 M b 2 N h d G l v b j 4 8 U 3 R h Y m x l R W 5 0 c m l l c z 4 8 R W 5 0 c n k g V H l w Z T 0 i S X N Q c m l 2 Y X R l I i B W Y W x 1 Z T 0 i b D A i I C 8 + P E V u d H J 5 I F R 5 c G U 9 I k 5 h b W V V c G R h d G V k Q W Z 0 Z X J G a W x s I i B W Y W x 1 Z T 0 i b D E i I C 8 + P E V u d H J 5 I F R 5 c G U 9 I k Z p b G x F b m F i b G V k I i B W Y W x 1 Z T 0 i b D A i I C 8 + P E V u d H J 5 I F R 5 c G U 9 I k Z p b G x P Y m p l Y 3 R U e X B l I i B W Y W x 1 Z T 0 i c 0 N v b m 5 l Y 3 R p b 2 5 P b m x 5 I i A v P j x F b n R y e S B U e X B l P S J G a W x s V G 9 E Y X R h T W 9 k Z W x F b m F i b G V k I i B W Y W x 1 Z T 0 i b D A i I C 8 + P E V u d H J 5 I F R 5 c G U 9 I l J l c 3 V s d F R 5 c G U i I F Z h b H V l P S J z R n V u Y 3 R p b 2 4 i I C 8 + P E V u d H J 5 I F R 5 c G U 9 I k J 1 Z m Z l c k 5 l e H R S Z W Z y Z X N o I i B W Y W x 1 Z T 0 i b D E i I C 8 + P E V u d H J 5 I F R 5 c G U 9 I k Z p b G x M Y X N 0 V X B k Y X R l Z C I g V m F s d W U 9 I m Q y M D E 5 L T A 4 L T I x V D E 4 O j M y O j E x L j g w N j E 4 N D l a I i A v P j x F b n R y e S B U e X B l P S J G a W x s R X J y b 3 J D b 2 R l I i B W Y W x 1 Z T 0 i c 1 V u a 2 5 v d 2 4 i I C 8 + P E V u d H J 5 I F R 5 c G U 9 I k Z p b G x T d G F 0 d X M i I F Z h b H V l P S J z Q 2 9 t c G x l d G U i I C 8 + P E V u d H J 5 I F R 5 c G U 9 I k F k Z G V k V G 9 E Y X R h T W 9 k Z W w i I F Z h b H V l P S J s M C I g L z 4 8 R W 5 0 c n k g V H l w Z T 0 i R m l s b G V k Q 2 9 t c G x l d G V S Z X N 1 b H R U b 1 d v c m t z a G V l d C I g V m F s d W U 9 I m w w I i A v P j w v U 3 R h Y m x l R W 5 0 c m l l c z 4 8 L 0 l 0 Z W 0 + P E l 0 Z W 0 + P E l 0 Z W 1 M b 2 N h d G l v b j 4 8 S X R l b V R 5 c G U + R m 9 y b X V s Y T w v S X R l b V R 5 c G U + P E l 0 Z W 1 Q Y X R o P l N l Y 3 R p b 2 4 x L 1 d h d G V y U G V y a W 9 k c 0 x p c 3 Q 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y w m c X V v d D t D b 2 x 1 b W 4 x M C Z x d W 9 0 O y w m c X V v d D t D b 2 x 1 b W 4 x M S Z x d W 9 0 O y w m c X V v d D t D b 2 x 1 b W 4 x M i Z x d W 9 0 O y w m c X V v d D t D b 2 x 1 b W 4 x M y Z x d W 9 0 O y w m c X V v d D t D b 2 x 1 b W 4 x N C Z x d W 9 0 O y w m c X V v d D t D b 2 x 1 b W 4 x N S Z x d W 9 0 O y w m c X V v d D t D b 2 x 1 b W 4 x N i Z x d W 9 0 O y w m c X V v d D t D b 2 x 1 b W 4 x N y Z x d W 9 0 O y w m c X V v d D t D b 2 x 1 b W 4 x O C Z x d W 9 0 O y w m c X V v d D t D b 2 x 1 b W 4 x O S Z x d W 9 0 O y w m c X V v d D t D b 2 x 1 b W 4 y M C Z x d W 9 0 O y w m c X V v d D t D b 2 x 1 b W 4 y M S Z x d W 9 0 O y w m c X V v d D t D b 2 x 1 b W 4 y M i Z x d W 9 0 O y w m c X V v d D t D b 2 x 1 b W 4 y M y Z x d W 9 0 O y w m c X V v d D t D b 2 x 1 b W 4 y N C Z x d W 9 0 O y w m c X V v d D t D b 2 x 1 b W 4 y N S Z x d W 9 0 O y w m c X V v d D t D b 2 x 1 b W 4 y N i Z x d W 9 0 O y w m c X V v d D t D b 2 x 1 b W 4 y N y Z x d W 9 0 O y w m c X V v d D t D b 2 x 1 b W 4 y O C Z x d W 9 0 O 1 0 i I C 8 + P E V u d H J 5 I F R 5 c G U 9 I k Z p b G x F c n J v c k N v Z G U i I F Z h b H V l P S J z V W 5 r b m 9 3 b i I g L z 4 8 R W 5 0 c n k g V H l w Z T 0 i R m l s b E x h c 3 R V c G R h d G V k I i B W Y W x 1 Z T 0 i Z D I w M T k t M D g t M j J U M T I 6 M T A 6 M j E u N T g x M z M 1 O F o i I C 8 + P E V u d H J 5 I F R 5 c G U 9 I k Z p b G x U Y X J n Z X Q i I F Z h b H V l P S J z V 2 F 0 Z X J Q Z X J p b 2 R z T G l z d C I g L z 4 8 R W 5 0 c n k g V H l w Z T 0 i R m l s b E N v d W 5 0 I i B W Y W x 1 Z T 0 i b D k 1 I i A v P j x F b n R y e S B U e X B l P S J S Z W x h d G l v b n N o a X B J b m Z v Q 2 9 u d G F p b m V y I i B W Y W x 1 Z T 0 i c 3 s m c X V v d D t j b 2 x 1 b W 5 D b 3 V u d C Z x d W 9 0 O z o y O C w m c X V v d D t r Z X l D b 2 x 1 b W 5 O Y W 1 l c y Z x d W 9 0 O z p b X S w m c X V v d D t x d W V y e V J l b G F 0 a W 9 u c 2 h p c H M m c X V v d D s 6 W 1 0 s J n F 1 b 3 Q 7 Y 2 9 s d W 1 u S W R l b n R p d G l l c y Z x d W 9 0 O z p b J n F 1 b 3 Q 7 U 2 V j d G l v b j E v V 2 F 0 Z X J Q Z X J p b 2 R z T G l z d C 9 B d X R v U m V t b 3 Z l Z E N v b H V t b n M x L n t D b 2 x 1 b W 4 x L D B 9 J n F 1 b 3 Q 7 L C Z x d W 9 0 O 1 N l Y 3 R p b 2 4 x L 1 d h d G V y U G V y a W 9 k c 0 x p c 3 Q v Q X V 0 b 1 J l b W 9 2 Z W R D b 2 x 1 b W 5 z M S 5 7 Q 2 9 s d W 1 u M i w x f S Z x d W 9 0 O y w m c X V v d D t T Z W N 0 a W 9 u M S 9 X Y X R l c l B l c m l v Z H N M a X N 0 L 0 F 1 d G 9 S Z W 1 v d m V k Q 2 9 s d W 1 u c z E u e 0 N v b H V t b j M s M n 0 m c X V v d D s s J n F 1 b 3 Q 7 U 2 V j d G l v b j E v V 2 F 0 Z X J Q Z X J p b 2 R z T G l z d C 9 B d X R v U m V t b 3 Z l Z E N v b H V t b n M x L n t D b 2 x 1 b W 4 0 L D N 9 J n F 1 b 3 Q 7 L C Z x d W 9 0 O 1 N l Y 3 R p b 2 4 x L 1 d h d G V y U G V y a W 9 k c 0 x p c 3 Q v Q X V 0 b 1 J l b W 9 2 Z W R D b 2 x 1 b W 5 z M S 5 7 Q 2 9 s d W 1 u N S w 0 f S Z x d W 9 0 O y w m c X V v d D t T Z W N 0 a W 9 u M S 9 X Y X R l c l B l c m l v Z H N M a X N 0 L 0 F 1 d G 9 S Z W 1 v d m V k Q 2 9 s d W 1 u c z E u e 0 N v b H V t b j Y s N X 0 m c X V v d D s s J n F 1 b 3 Q 7 U 2 V j d G l v b j E v V 2 F 0 Z X J Q Z X J p b 2 R z T G l z d C 9 B d X R v U m V t b 3 Z l Z E N v b H V t b n M x L n t D b 2 x 1 b W 4 3 L D Z 9 J n F 1 b 3 Q 7 L C Z x d W 9 0 O 1 N l Y 3 R p b 2 4 x L 1 d h d G V y U G V y a W 9 k c 0 x p c 3 Q v Q X V 0 b 1 J l b W 9 2 Z W R D b 2 x 1 b W 5 z M S 5 7 Q 2 9 s d W 1 u O C w 3 f S Z x d W 9 0 O y w m c X V v d D t T Z W N 0 a W 9 u M S 9 X Y X R l c l B l c m l v Z H N M a X N 0 L 0 F 1 d G 9 S Z W 1 v d m V k Q 2 9 s d W 1 u c z E u e 0 N v b H V t b j k s O H 0 m c X V v d D s s J n F 1 b 3 Q 7 U 2 V j d G l v b j E v V 2 F 0 Z X J Q Z X J p b 2 R z T G l z d C 9 B d X R v U m V t b 3 Z l Z E N v b H V t b n M x L n t D b 2 x 1 b W 4 x M C w 5 f S Z x d W 9 0 O y w m c X V v d D t T Z W N 0 a W 9 u M S 9 X Y X R l c l B l c m l v Z H N M a X N 0 L 0 F 1 d G 9 S Z W 1 v d m V k Q 2 9 s d W 1 u c z E u e 0 N v b H V t b j E x L D E w f S Z x d W 9 0 O y w m c X V v d D t T Z W N 0 a W 9 u M S 9 X Y X R l c l B l c m l v Z H N M a X N 0 L 0 F 1 d G 9 S Z W 1 v d m V k Q 2 9 s d W 1 u c z E u e 0 N v b H V t b j E y L D E x f S Z x d W 9 0 O y w m c X V v d D t T Z W N 0 a W 9 u M S 9 X Y X R l c l B l c m l v Z H N M a X N 0 L 0 F 1 d G 9 S Z W 1 v d m V k Q 2 9 s d W 1 u c z E u e 0 N v b H V t b j E z L D E y f S Z x d W 9 0 O y w m c X V v d D t T Z W N 0 a W 9 u M S 9 X Y X R l c l B l c m l v Z H N M a X N 0 L 0 F 1 d G 9 S Z W 1 v d m V k Q 2 9 s d W 1 u c z E u e 0 N v b H V t b j E 0 L D E z f S Z x d W 9 0 O y w m c X V v d D t T Z W N 0 a W 9 u M S 9 X Y X R l c l B l c m l v Z H N M a X N 0 L 0 F 1 d G 9 S Z W 1 v d m V k Q 2 9 s d W 1 u c z E u e 0 N v b H V t b j E 1 L D E 0 f S Z x d W 9 0 O y w m c X V v d D t T Z W N 0 a W 9 u M S 9 X Y X R l c l B l c m l v Z H N M a X N 0 L 0 F 1 d G 9 S Z W 1 v d m V k Q 2 9 s d W 1 u c z E u e 0 N v b H V t b j E 2 L D E 1 f S Z x d W 9 0 O y w m c X V v d D t T Z W N 0 a W 9 u M S 9 X Y X R l c l B l c m l v Z H N M a X N 0 L 0 F 1 d G 9 S Z W 1 v d m V k Q 2 9 s d W 1 u c z E u e 0 N v b H V t b j E 3 L D E 2 f S Z x d W 9 0 O y w m c X V v d D t T Z W N 0 a W 9 u M S 9 X Y X R l c l B l c m l v Z H N M a X N 0 L 0 F 1 d G 9 S Z W 1 v d m V k Q 2 9 s d W 1 u c z E u e 0 N v b H V t b j E 4 L D E 3 f S Z x d W 9 0 O y w m c X V v d D t T Z W N 0 a W 9 u M S 9 X Y X R l c l B l c m l v Z H N M a X N 0 L 0 F 1 d G 9 S Z W 1 v d m V k Q 2 9 s d W 1 u c z E u e 0 N v b H V t b j E 5 L D E 4 f S Z x d W 9 0 O y w m c X V v d D t T Z W N 0 a W 9 u M S 9 X Y X R l c l B l c m l v Z H N M a X N 0 L 0 F 1 d G 9 S Z W 1 v d m V k Q 2 9 s d W 1 u c z E u e 0 N v b H V t b j I w L D E 5 f S Z x d W 9 0 O y w m c X V v d D t T Z W N 0 a W 9 u M S 9 X Y X R l c l B l c m l v Z H N M a X N 0 L 0 F 1 d G 9 S Z W 1 v d m V k Q 2 9 s d W 1 u c z E u e 0 N v b H V t b j I x L D I w f S Z x d W 9 0 O y w m c X V v d D t T Z W N 0 a W 9 u M S 9 X Y X R l c l B l c m l v Z H N M a X N 0 L 0 F 1 d G 9 S Z W 1 v d m V k Q 2 9 s d W 1 u c z E u e 0 N v b H V t b j I y L D I x f S Z x d W 9 0 O y w m c X V v d D t T Z W N 0 a W 9 u M S 9 X Y X R l c l B l c m l v Z H N M a X N 0 L 0 F 1 d G 9 S Z W 1 v d m V k Q 2 9 s d W 1 u c z E u e 0 N v b H V t b j I z L D I y f S Z x d W 9 0 O y w m c X V v d D t T Z W N 0 a W 9 u M S 9 X Y X R l c l B l c m l v Z H N M a X N 0 L 0 F 1 d G 9 S Z W 1 v d m V k Q 2 9 s d W 1 u c z E u e 0 N v b H V t b j I 0 L D I z f S Z x d W 9 0 O y w m c X V v d D t T Z W N 0 a W 9 u M S 9 X Y X R l c l B l c m l v Z H N M a X N 0 L 0 F 1 d G 9 S Z W 1 v d m V k Q 2 9 s d W 1 u c z E u e 0 N v b H V t b j I 1 L D I 0 f S Z x d W 9 0 O y w m c X V v d D t T Z W N 0 a W 9 u M S 9 X Y X R l c l B l c m l v Z H N M a X N 0 L 0 F 1 d G 9 S Z W 1 v d m V k Q 2 9 s d W 1 u c z E u e 0 N v b H V t b j I 2 L D I 1 f S Z x d W 9 0 O y w m c X V v d D t T Z W N 0 a W 9 u M S 9 X Y X R l c l B l c m l v Z H N M a X N 0 L 0 F 1 d G 9 S Z W 1 v d m V k Q 2 9 s d W 1 u c z E u e 0 N v b H V t b j I 3 L D I 2 f S Z x d W 9 0 O y w m c X V v d D t T Z W N 0 a W 9 u M S 9 X Y X R l c l B l c m l v Z H N M a X N 0 L 0 F 1 d G 9 S Z W 1 v d m V k Q 2 9 s d W 1 u c z E u e 0 N v b H V t b j I 4 L D I 3 f S Z x d W 9 0 O 1 0 s J n F 1 b 3 Q 7 Q 2 9 s d W 1 u Q 2 9 1 b n Q m c X V v d D s 6 M j g s J n F 1 b 3 Q 7 S 2 V 5 Q 2 9 s d W 1 u T m F t Z X M m c X V v d D s 6 W 1 0 s J n F 1 b 3 Q 7 Q 2 9 s d W 1 u S W R l b n R p d G l l c y Z x d W 9 0 O z p b J n F 1 b 3 Q 7 U 2 V j d G l v b j E v V 2 F 0 Z X J Q Z X J p b 2 R z T G l z d C 9 B d X R v U m V t b 3 Z l Z E N v b H V t b n M x L n t D b 2 x 1 b W 4 x L D B 9 J n F 1 b 3 Q 7 L C Z x d W 9 0 O 1 N l Y 3 R p b 2 4 x L 1 d h d G V y U G V y a W 9 k c 0 x p c 3 Q v Q X V 0 b 1 J l b W 9 2 Z W R D b 2 x 1 b W 5 z M S 5 7 Q 2 9 s d W 1 u M i w x f S Z x d W 9 0 O y w m c X V v d D t T Z W N 0 a W 9 u M S 9 X Y X R l c l B l c m l v Z H N M a X N 0 L 0 F 1 d G 9 S Z W 1 v d m V k Q 2 9 s d W 1 u c z E u e 0 N v b H V t b j M s M n 0 m c X V v d D s s J n F 1 b 3 Q 7 U 2 V j d G l v b j E v V 2 F 0 Z X J Q Z X J p b 2 R z T G l z d C 9 B d X R v U m V t b 3 Z l Z E N v b H V t b n M x L n t D b 2 x 1 b W 4 0 L D N 9 J n F 1 b 3 Q 7 L C Z x d W 9 0 O 1 N l Y 3 R p b 2 4 x L 1 d h d G V y U G V y a W 9 k c 0 x p c 3 Q v Q X V 0 b 1 J l b W 9 2 Z W R D b 2 x 1 b W 5 z M S 5 7 Q 2 9 s d W 1 u N S w 0 f S Z x d W 9 0 O y w m c X V v d D t T Z W N 0 a W 9 u M S 9 X Y X R l c l B l c m l v Z H N M a X N 0 L 0 F 1 d G 9 S Z W 1 v d m V k Q 2 9 s d W 1 u c z E u e 0 N v b H V t b j Y s N X 0 m c X V v d D s s J n F 1 b 3 Q 7 U 2 V j d G l v b j E v V 2 F 0 Z X J Q Z X J p b 2 R z T G l z d C 9 B d X R v U m V t b 3 Z l Z E N v b H V t b n M x L n t D b 2 x 1 b W 4 3 L D Z 9 J n F 1 b 3 Q 7 L C Z x d W 9 0 O 1 N l Y 3 R p b 2 4 x L 1 d h d G V y U G V y a W 9 k c 0 x p c 3 Q v Q X V 0 b 1 J l b W 9 2 Z W R D b 2 x 1 b W 5 z M S 5 7 Q 2 9 s d W 1 u O C w 3 f S Z x d W 9 0 O y w m c X V v d D t T Z W N 0 a W 9 u M S 9 X Y X R l c l B l c m l v Z H N M a X N 0 L 0 F 1 d G 9 S Z W 1 v d m V k Q 2 9 s d W 1 u c z E u e 0 N v b H V t b j k s O H 0 m c X V v d D s s J n F 1 b 3 Q 7 U 2 V j d G l v b j E v V 2 F 0 Z X J Q Z X J p b 2 R z T G l z d C 9 B d X R v U m V t b 3 Z l Z E N v b H V t b n M x L n t D b 2 x 1 b W 4 x M C w 5 f S Z x d W 9 0 O y w m c X V v d D t T Z W N 0 a W 9 u M S 9 X Y X R l c l B l c m l v Z H N M a X N 0 L 0 F 1 d G 9 S Z W 1 v d m V k Q 2 9 s d W 1 u c z E u e 0 N v b H V t b j E x L D E w f S Z x d W 9 0 O y w m c X V v d D t T Z W N 0 a W 9 u M S 9 X Y X R l c l B l c m l v Z H N M a X N 0 L 0 F 1 d G 9 S Z W 1 v d m V k Q 2 9 s d W 1 u c z E u e 0 N v b H V t b j E y L D E x f S Z x d W 9 0 O y w m c X V v d D t T Z W N 0 a W 9 u M S 9 X Y X R l c l B l c m l v Z H N M a X N 0 L 0 F 1 d G 9 S Z W 1 v d m V k Q 2 9 s d W 1 u c z E u e 0 N v b H V t b j E z L D E y f S Z x d W 9 0 O y w m c X V v d D t T Z W N 0 a W 9 u M S 9 X Y X R l c l B l c m l v Z H N M a X N 0 L 0 F 1 d G 9 S Z W 1 v d m V k Q 2 9 s d W 1 u c z E u e 0 N v b H V t b j E 0 L D E z f S Z x d W 9 0 O y w m c X V v d D t T Z W N 0 a W 9 u M S 9 X Y X R l c l B l c m l v Z H N M a X N 0 L 0 F 1 d G 9 S Z W 1 v d m V k Q 2 9 s d W 1 u c z E u e 0 N v b H V t b j E 1 L D E 0 f S Z x d W 9 0 O y w m c X V v d D t T Z W N 0 a W 9 u M S 9 X Y X R l c l B l c m l v Z H N M a X N 0 L 0 F 1 d G 9 S Z W 1 v d m V k Q 2 9 s d W 1 u c z E u e 0 N v b H V t b j E 2 L D E 1 f S Z x d W 9 0 O y w m c X V v d D t T Z W N 0 a W 9 u M S 9 X Y X R l c l B l c m l v Z H N M a X N 0 L 0 F 1 d G 9 S Z W 1 v d m V k Q 2 9 s d W 1 u c z E u e 0 N v b H V t b j E 3 L D E 2 f S Z x d W 9 0 O y w m c X V v d D t T Z W N 0 a W 9 u M S 9 X Y X R l c l B l c m l v Z H N M a X N 0 L 0 F 1 d G 9 S Z W 1 v d m V k Q 2 9 s d W 1 u c z E u e 0 N v b H V t b j E 4 L D E 3 f S Z x d W 9 0 O y w m c X V v d D t T Z W N 0 a W 9 u M S 9 X Y X R l c l B l c m l v Z H N M a X N 0 L 0 F 1 d G 9 S Z W 1 v d m V k Q 2 9 s d W 1 u c z E u e 0 N v b H V t b j E 5 L D E 4 f S Z x d W 9 0 O y w m c X V v d D t T Z W N 0 a W 9 u M S 9 X Y X R l c l B l c m l v Z H N M a X N 0 L 0 F 1 d G 9 S Z W 1 v d m V k Q 2 9 s d W 1 u c z E u e 0 N v b H V t b j I w L D E 5 f S Z x d W 9 0 O y w m c X V v d D t T Z W N 0 a W 9 u M S 9 X Y X R l c l B l c m l v Z H N M a X N 0 L 0 F 1 d G 9 S Z W 1 v d m V k Q 2 9 s d W 1 u c z E u e 0 N v b H V t b j I x L D I w f S Z x d W 9 0 O y w m c X V v d D t T Z W N 0 a W 9 u M S 9 X Y X R l c l B l c m l v Z H N M a X N 0 L 0 F 1 d G 9 S Z W 1 v d m V k Q 2 9 s d W 1 u c z E u e 0 N v b H V t b j I y L D I x f S Z x d W 9 0 O y w m c X V v d D t T Z W N 0 a W 9 u M S 9 X Y X R l c l B l c m l v Z H N M a X N 0 L 0 F 1 d G 9 S Z W 1 v d m V k Q 2 9 s d W 1 u c z E u e 0 N v b H V t b j I z L D I y f S Z x d W 9 0 O y w m c X V v d D t T Z W N 0 a W 9 u M S 9 X Y X R l c l B l c m l v Z H N M a X N 0 L 0 F 1 d G 9 S Z W 1 v d m V k Q 2 9 s d W 1 u c z E u e 0 N v b H V t b j I 0 L D I z f S Z x d W 9 0 O y w m c X V v d D t T Z W N 0 a W 9 u M S 9 X Y X R l c l B l c m l v Z H N M a X N 0 L 0 F 1 d G 9 S Z W 1 v d m V k Q 2 9 s d W 1 u c z E u e 0 N v b H V t b j I 1 L D I 0 f S Z x d W 9 0 O y w m c X V v d D t T Z W N 0 a W 9 u M S 9 X Y X R l c l B l c m l v Z H N M a X N 0 L 0 F 1 d G 9 S Z W 1 v d m V k Q 2 9 s d W 1 u c z E u e 0 N v b H V t b j I 2 L D I 1 f S Z x d W 9 0 O y w m c X V v d D t T Z W N 0 a W 9 u M S 9 X Y X R l c l B l c m l v Z H N M a X N 0 L 0 F 1 d G 9 S Z W 1 v d m V k Q 2 9 s d W 1 u c z E u e 0 N v b H V t b j I 3 L D I 2 f S Z x d W 9 0 O y w m c X V v d D t T Z W N 0 a W 9 u M S 9 X Y X R l c l B l c m l v Z H N M a X N 0 L 0 F 1 d G 9 S Z W 1 v d m V k Q 2 9 s d W 1 u c z E u e 0 N v b H V t b j I 4 L D I 3 f S Z x d W 9 0 O 1 0 s J n F 1 b 3 Q 7 U m V s Y X R p b 2 5 z a G l w S W 5 m b y Z x d W 9 0 O z p b X X 0 i I C 8 + P E V u d H J 5 I F R 5 c G U 9 I k Z p b G x F c n J v c k N v d W 5 0 I i B W Y W x 1 Z T 0 i b D A i I C 8 + P E V u d H J 5 I F R 5 c G U 9 I k J 1 Z m Z l c k 5 l e H R S Z W Z y Z X N o I i B W Y W x 1 Z T 0 i b D E i I C 8 + P E V u d H J 5 I F R 5 c G U 9 I l J l c 3 V s d F R 5 c G U i I F Z h b H V l P S J z V G F i b G U i I C 8 + P E V u d H J 5 I F R 5 c G U 9 I k F k Z G V k V G 9 E Y X R h T W 9 k Z W w i I F Z h b H V l P S J s M C I g L z 4 8 R W 5 0 c n k g V H l w Z T 0 i R m l s b G V k Q 2 9 t c G x l d G V S Z X N 1 b H R U b 1 d v c m t z a G V l d C I g V m F s d W U 9 I m w x I i A v P j x F b n R y e S B U e X B l P S J G a W x s Q 2 9 s d W 1 u V H l w Z X M i I F Z h b H V l P S J z Q U F B Q U F B Q U F B Q U F B Q U F B Q U F B Q U F B Q U F B Q U F B Q U F B Q U F B Q U F B Q U E 9 P S I g L z 4 8 R W 5 0 c n k g V H l w Z T 0 i U X V l c n l J R C I g V m F s d W U 9 I n N m N D I 2 Y z A 4 O C 0 5 Z D F h L T Q 2 Z G Y t Y j Q z Z i 0 y Y j E 2 N D h j N m U 3 N 2 Y i I C 8 + P E V u d H J 5 I F R 5 c G U 9 I k x v Y W R l Z F R v Q W 5 h b H l z a X N T Z X J 2 a W N l c y I g V m F s d W U 9 I m w w I i A v P j x F b n R y e S B U e X B l P S J G a W x s U 3 R h d H V z I i B W Y W x 1 Z T 0 i c 0 N v b X B s Z X R l I i A v P j w v U 3 R h Y m x l R W 5 0 c m l l c z 4 8 L 0 l 0 Z W 0 + P E l 0 Z W 0 + P E l 0 Z W 1 M b 2 N h d G l v b j 4 8 S X R l b V R 5 c G U + R m 9 y b X V s Y T w v S X R l b V R 5 c G U + P E l 0 Z W 1 Q Y X R o P l N l Y 3 R p b 2 4 x L 1 d h d G V y U G V y a W 9 k c 0 x p c 3 Q v U 2 9 1 c m N l P C 9 J d G V t U G F 0 a D 4 8 L 0 l 0 Z W 1 M b 2 N h d G l v b j 4 8 U 3 R h Y m x l R W 5 0 c m l l c y A v P j w v S X R l b T 4 8 S X R l b T 4 8 S X R l b U x v Y 2 F 0 a W 9 u P j x J d G V t V H l w Z T 5 G b 3 J t d W x h P C 9 J d G V t V H l w Z T 4 8 S X R l b V B h d G g + U 2 V j d G l v b j E v V 2 F 0 Z X J Q Z X J p b 2 R z T G l z d C 9 X Y X R l c l 9 T a G V l d D w v S X R l b V B h d G g + P C 9 J d G V t T G 9 j Y X R p b 2 4 + P F N 0 Y W J s Z U V u d H J p Z X M g L z 4 8 L 0 l 0 Z W 0 + P E l 0 Z W 0 + P E l 0 Z W 1 M b 2 N h d G l v b j 4 8 S X R l b V R 5 c G U + R m 9 y b X V s Y T w v S X R l b V R 5 c G U + P E l 0 Z W 1 Q Y X R o P l N l Y 3 R p b 2 4 x L 1 d h d G V y J T I w U G V y a W 9 k c y 9 T b 3 V y Y 2 U 8 L 0 l 0 Z W 1 Q Y X R o P j w v S X R l b U x v Y 2 F 0 a W 9 u P j x T d G F i b G V F b n R y a W V z I C 8 + P C 9 J d G V t P j x J d G V t P j x J d G V t T G 9 j Y X R p b 2 4 + P E l 0 Z W 1 U e X B l P k Z v c m 1 1 b G E 8 L 0 l 0 Z W 1 U e X B l P j x J d G V t U G F 0 a D 5 T Z W N 0 a W 9 u M S 9 X Y X R l c i U y M F B l c m l v Z H M v U m V t b 3 Z l Z C U y M F R v c C U y M F J v d 3 M 8 L 0 l 0 Z W 1 Q Y X R o P j w v S X R l b U x v Y 2 F 0 a W 9 u P j x T d G F i b G V F b n R y a W V z I C 8 + P C 9 J d G V t P j x J d G V t P j x J d G V t T G 9 j Y X R p b 2 4 + P E l 0 Z W 1 U e X B l P k Z v c m 1 1 b G E 8 L 0 l 0 Z W 1 U e X B l P j x J d G V t U G F 0 a D 5 T Z W N 0 a W 9 u M S 9 X Y X R l c i U y M F B l c m l v Z H M v U H J v b W 9 0 Z W Q l M j B I Z W F k Z X J z P C 9 J d G V t U G F 0 a D 4 8 L 0 l 0 Z W 1 M b 2 N h d G l v b j 4 8 U 3 R h Y m x l R W 5 0 c m l l c y A v P j w v S X R l b T 4 8 S X R l b T 4 8 S X R l b U x v Y 2 F 0 a W 9 u P j x J d G V t V H l w Z T 5 G b 3 J t d W x h P C 9 J d G V t V H l w Z T 4 8 S X R l b V B h d G g + U 2 V j d G l v b j E v V 2 F 0 Z X I l M j B Q Z X J p b 2 R z L 1 J l b W 9 2 Z W Q l M j B C b 3 R 0 b 2 0 l M j B S b 3 d z P C 9 J d G V t U G F 0 a D 4 8 L 0 l 0 Z W 1 M b 2 N h d G l v b j 4 8 U 3 R h Y m x l R W 5 0 c m l l c y A v P j w v S X R l b T 4 8 S X R l b T 4 8 S X R l b U x v Y 2 F 0 a W 9 u P j x J d G V t V H l w Z T 5 G b 3 J t d W x h P C 9 J d G V t V H l w Z T 4 8 S X R l b V B h d G g + U 2 V j d G l v b j E v V 2 F 0 Z X I l M j B Q Z X J p b 2 R z L 1 J l b W 9 2 Z W Q l M j B D b 2 x 1 b W 5 z P C 9 J d G V t U G F 0 a D 4 8 L 0 l 0 Z W 1 M b 2 N h d G l v b j 4 8 U 3 R h Y m x l R W 5 0 c m l l c y A v P j w v S X R l b T 4 8 S X R l b T 4 8 S X R l b U x v Y 2 F 0 a W 9 u P j x J d G V t V H l w Z T 5 G b 3 J t d W x h P C 9 J d G V t V H l w Z T 4 8 S X R l b V B h d G g + U 2 V j d G l v b j E v V 2 F 0 Z X I l M j B Q Z X J p b 2 R z L 0 N o Y W 5 n Z W Q l M j B U e X B l P C 9 J d G V t U G F 0 a D 4 8 L 0 l 0 Z W 1 M b 2 N h d G l v b j 4 8 U 3 R h Y m x l R W 5 0 c m l l c y A v P j w v S X R l b T 4 8 S X R l b T 4 8 S X R l b U x v Y 2 F 0 a W 9 u P j x J d G V t V H l w Z T 5 G b 3 J t d W x h P C 9 J d G V t V H l w Z T 4 8 S X R l b V B h d G g + U 2 V j d G l v b j E v V 2 F 0 Z X I l M j B Q Z X J p b 2 R z L 0 1 l c m d l Z C U y M F F 1 Z X J p Z X M 8 L 0 l 0 Z W 1 Q Y X R o P j w v S X R l b U x v Y 2 F 0 a W 9 u P j x T d G F i b G V F b n R y a W V z I C 8 + P C 9 J d G V t P j x J d G V t P j x J d G V t T G 9 j Y X R p b 2 4 + P E l 0 Z W 1 U e X B l P k Z v c m 1 1 b G E 8 L 0 l 0 Z W 1 U e X B l P j x J d G V t U G F 0 a D 5 T Z W N 0 a W 9 u M S 9 X Y X R l c i U y M F B l c m l v Z H M v R X h w Y W 5 k Z W Q l M j B U Y W J s Z T I 8 L 0 l 0 Z W 1 Q Y X R o P j w v S X R l b U x v Y 2 F 0 a W 9 u P j x T d G F i b G V F b n R y a W V z I C 8 + P C 9 J d G V t P j x J d G V t P j x J d G V t T G 9 j Y X R p b 2 4 + P E l 0 Z W 1 U e X B l P k Z v c m 1 1 b G E 8 L 0 l 0 Z W 1 U e X B l P j x J d G V t U G F 0 a D 5 T Z W N 0 a W 9 u M S 9 X Y X R l c i U y M F B l c m l v Z H M v Q 2 h h b m d l Z C U y M F R 5 c G U x P C 9 J d G V t U G F 0 a D 4 8 L 0 l 0 Z W 1 M b 2 N h d G l v b j 4 8 U 3 R h Y m x l R W 5 0 c m l l c y A v P j w v S X R l b T 4 8 S X R l b T 4 8 S X R l b U x v Y 2 F 0 a W 9 u P j x J d G V t V H l w Z T 5 G b 3 J t d W x h P C 9 J d G V t V H l w Z T 4 8 S X R l b V B h d G g + U 2 V j d G l v b j E v R X N j Y W x h d G l v b k Z h Y 3 R v c n N M a X N 0 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Z p b G x D b 2 x 1 b W 5 O Y W 1 l c y I g V m F s d W U 9 I n N b J n F 1 b 3 Q 7 U G V y a W 9 k J n F 1 b 3 Q 7 L C Z x d W 9 0 O 0 Z h Y 3 R v c i Z x d W 9 0 O 1 0 i I C 8 + P E V u d H J 5 I F R 5 c G U 9 I k Z p b G x F c n J v c k N v Z G U i I F Z h b H V l P S J z V W 5 r b m 9 3 b i I g L z 4 8 R W 5 0 c n k g V H l w Z T 0 i R m l s b E x h c 3 R V c G R h d G V k I i B W Y W x 1 Z T 0 i Z D I w M T k t M D g t M j J U M T I 6 M T A 6 M j E u N j k w N T Q w M F o i I C 8 + P E V u d H J 5 I F R 5 c G U 9 I k Z p b G x U Y X J n Z X Q i I F Z h b H V l P S J z R X N j Y W x h d G l v b k Z h Y 3 R v c n N M a X N 0 I i A v P j x F b n R y e S B U e X B l P S J S Z W x h d G l v b n N o a X B J b m Z v Q 2 9 u d G F p b m V y I i B W Y W x 1 Z T 0 i c 3 s m c X V v d D t j b 2 x 1 b W 5 D b 3 V u d C Z x d W 9 0 O z o y L C Z x d W 9 0 O 2 t l e U N v b H V t b k 5 h b W V z J n F 1 b 3 Q 7 O l t d L C Z x d W 9 0 O 3 F 1 Z X J 5 U m V s Y X R p b 2 5 z a G l w c y Z x d W 9 0 O z p b X S w m c X V v d D t j b 2 x 1 b W 5 J Z G V u d G l 0 a W V z J n F 1 b 3 Q 7 O l s m c X V v d D t T Z W N 0 a W 9 u M S 9 F c 2 N h b G F 0 a W 9 u R m F j d G 9 y c 0 x p c 3 Q v U 2 9 1 c m N l L n t Q Z X J p b 2 Q s M H 0 m c X V v d D s s J n F 1 b 3 Q 7 U 2 V j d G l v b j E v R X N j Y W x h d G l v b k Z h Y 3 R v c n N M a X N 0 L 1 N v d X J j Z S 5 7 R m F j d G 9 y L D F 9 J n F 1 b 3 Q 7 X S w m c X V v d D t D b 2 x 1 b W 5 D b 3 V u d C Z x d W 9 0 O z o y L C Z x d W 9 0 O 0 t l e U N v b H V t b k 5 h b W V z J n F 1 b 3 Q 7 O l t d L C Z x d W 9 0 O 0 N v b H V t b k l k Z W 5 0 a X R p Z X M m c X V v d D s 6 W y Z x d W 9 0 O 1 N l Y 3 R p b 2 4 x L 0 V z Y 2 F s Y X R p b 2 5 G Y W N 0 b 3 J z T G l z d C 9 T b 3 V y Y 2 U u e 1 B l c m l v Z C w w f S Z x d W 9 0 O y w m c X V v d D t T Z W N 0 a W 9 u M S 9 F c 2 N h b G F 0 a W 9 u R m F j d G 9 y c 0 x p c 3 Q v U 2 9 1 c m N l L n t G Y W N 0 b 3 I s M X 0 m c X V v d D t d L C Z x d W 9 0 O 1 J l b G F 0 a W 9 u c 2 h p c E l u Z m 8 m c X V v d D s 6 W 1 1 9 I i A v P j x F b n R y e S B U e X B l P S J G a W x s Q 2 9 1 b n Q i I F Z h b H V l P S J s N S I g L z 4 8 R W 5 0 c n k g V H l w Z T 0 i R m l s b E V y c m 9 y Q 2 9 1 b n Q i I F Z h b H V l P S J s M S I g L z 4 8 R W 5 0 c n k g V H l w Z T 0 i Q W R k Z W R U b 0 R h d G F N b 2 R l b C I g V m F s d W U 9 I m w w I i A v P j x F b n R y e S B U e X B l P S J G a W x s Z W R D b 2 1 w b G V 0 Z V J l c 3 V s d F R v V 2 9 y a 3 N o Z W V 0 I i B W Y W x 1 Z T 0 i b D E i I C 8 + P E V u d H J 5 I F R 5 c G U 9 I k 5 h b W V V c G R h d G V k Q W Z 0 Z X J G a W x s I i B W Y W x 1 Z T 0 i b D A i I C 8 + P E V u d H J 5 I F R 5 c G U 9 I k x v Y W R l Z F R v Q W 5 h b H l z a X N T Z X J 2 a W N l c y I g V m F s d W U 9 I m w w I i A v P j x F b n R y e S B U e X B l P S J G a W x s Q 2 9 s d W 1 u V H l w Z X M i I F Z h b H V l P S J z Q U F B P S I g L z 4 8 R W 5 0 c n k g V H l w Z T 0 i U X V l c n l J R C I g V m F s d W U 9 I n N k Z G E w Z T Y 4 Y y 1 l N z I 1 L T Q x Y W M t Y j B i O S 0 y N T k z M m N k O G Q x Y 2 M i I C 8 + P E V u d H J 5 I F R 5 c G U 9 I l J l Y 2 9 2 Z X J 5 V G F y Z 2 V 0 U 2 h l Z X Q i I F Z h b H V l P S J z U 2 h l Z X Q z I i A v P j x F b n R y e S B U e X B l P S J S Z W N v d m V y e V R h c m d l d E N v b H V t b i I g V m F s d W U 9 I m w x I i A v P j x F b n R y e S B U e X B l P S J S Z W N v d m V y e V R h c m d l d F J v d y I g V m F s d W U 9 I m w x I i A v P j x F b n R y e S B U e X B l P S J G a W x s U 3 R h d H V z I i B W Y W x 1 Z T 0 i c 0 N v b X B s Z X R l I i A v P j w v U 3 R h Y m x l R W 5 0 c m l l c z 4 8 L 0 l 0 Z W 0 + P E l 0 Z W 0 + P E l 0 Z W 1 M b 2 N h d G l v b j 4 8 S X R l b V R 5 c G U + R m 9 y b X V s Y T w v S X R l b V R 5 c G U + P E l 0 Z W 1 Q Y X R o P l N l Y 3 R p b 2 4 x L 0 V z Y 2 F s Y X R p b 2 5 G Y W N 0 b 3 J z T G l z d C 9 T b 3 V y Y 2 U 8 L 0 l 0 Z W 1 Q Y X R o P j w v S X R l b U x v Y 2 F 0 a W 9 u P j x T d G F i b G V F b n R y a W V z I C 8 + P C 9 J d G V t P j x J d G V t P j x J d G V t T G 9 j Y X R p b 2 4 + P E l 0 Z W 1 U e X B l P k Z v c m 1 1 b G E 8 L 0 l 0 Z W 1 U e X B l P j x J d G V t U G F 0 a D 5 T Z W N 0 a W 9 u M S 9 J b n Z D b 2 5 z d D w v S X R l b V B h d G g + P C 9 J d G V t T G 9 j Y X R p b 2 4 + P F N 0 Y W J s Z U V u d H J p Z X M + P E V u d H J 5 I F R 5 c G U 9 I k l z U H J p d m F 0 Z S I g V m F s d W U 9 I m w w I i A v P j x F b n R y e S B U e X B l P S J O Y W 1 l V X B k Y X R l Z E F m d G V y R m l s b C I g V m F s d W U 9 I m w w I i A v P j x F b n R y e S B U e X B l P S J G a W x s R W 5 h Y m x l Z C I g V m F s d W U 9 I m w x I i A v P j x F b n R y e S B U e X B l P S J G a W x s T 2 J q Z W N 0 V H l w Z S I g V m F s d W U 9 I n N U Y W J s Z S I g L z 4 8 R W 5 0 c n k g V H l w Z T 0 i R m l s b F R v R G F 0 Y U 1 v Z G V s R W 5 h Y m x l Z C I g V m F s d W U 9 I m w w I i A v P j x F b n R y e S B U e X B l P S J S Z X N 1 b H R U e X B l I i B W Y W x 1 Z T 0 i c 0 5 1 b W J l c i I g L z 4 8 R W 5 0 c n k g V H l w Z T 0 i Q n V m Z m V y T m V 4 d F J l Z n J l c 2 g i I F Z h b H V l P S J s M S I g L z 4 8 R W 5 0 c n k g V H l w Z T 0 i R m l s b E V y c m 9 y Q 2 9 1 b n Q i I F Z h b H V l P S J s M C I g L z 4 8 R W 5 0 c n k g V H l w Z T 0 i R m l s b E N v d W 5 0 I i B W Y W x 1 Z T 0 i b D E i I C 8 + P E V u d H J 5 I F R 5 c G U 9 I k Z p b G x U Y X J n Z X Q i I F Z h b H V l P S J z S W 5 2 Q 2 9 u c 3 Q i I C 8 + P E V u d H J 5 I F R 5 c G U 9 I k Z p b G x M Y X N 0 V X B k Y X R l Z C I g V m F s d W U 9 I m Q y M D E 5 L T A 4 L T I y V D E y O j E w O j I x L j g x N T M 0 N D h a I i A v P j x F b n R y e S B U e X B l P S J S Z W x h d G l v b n N o a X B J b m Z v Q 2 9 u d G F p b m V y I i B W Y W x 1 Z T 0 i c 3 s m c X V v d D t j b 2 x 1 b W 5 D b 3 V u d C Z x d W 9 0 O z o x L C Z x d W 9 0 O 2 t l e U N v b H V t b k 5 h b W V z J n F 1 b 3 Q 7 O l t d L C Z x d W 9 0 O 3 F 1 Z X J 5 U m V s Y X R p b 2 5 z a G l w c y Z x d W 9 0 O z p b X S w m c X V v d D t j b 2 x 1 b W 5 J Z G V u d G l 0 a W V z J n F 1 b 3 Q 7 O l s m c X V v d D t T Z W N 0 a W 9 u M S 9 J b n Z D b 2 5 z d C 9 B d X R v U m V t b 3 Z l Z E N v b H V t b n M x L n t J b n Z D b 2 5 z d C w w f S Z x d W 9 0 O 1 0 s J n F 1 b 3 Q 7 Q 2 9 s d W 1 u Q 2 9 1 b n Q m c X V v d D s 6 M S w m c X V v d D t L Z X l D b 2 x 1 b W 5 O Y W 1 l c y Z x d W 9 0 O z p b X S w m c X V v d D t D b 2 x 1 b W 5 J Z G V u d G l 0 a W V z J n F 1 b 3 Q 7 O l s m c X V v d D t T Z W N 0 a W 9 u M S 9 J b n Z D b 2 5 z d C 9 B d X R v U m V t b 3 Z l Z E N v b H V t b n M x L n t J b n Z D b 2 5 z d C w w f S Z x d W 9 0 O 1 0 s J n F 1 b 3 Q 7 U m V s Y X R p b 2 5 z a G l w S W 5 m b y Z x d W 9 0 O z p b X X 0 i I C 8 + P E V u d H J 5 I F R 5 c G U 9 I k Z p b G x F c n J v c k N v Z G U i I F Z h b H V l P S J z V W 5 r b m 9 3 b i I g L z 4 8 R W 5 0 c n k g V H l w Z T 0 i R m l s b E N v b H V t b k 5 h b W V z I i B W Y W x 1 Z T 0 i c 1 s m c X V v d D t J b n Z D b 2 5 z d C Z x d W 9 0 O 1 0 i I C 8 + P E V u d H J 5 I F R 5 c G U 9 I k F k Z G V k V G 9 E Y X R h T W 9 k Z W w i I F Z h b H V l P S J s M C I g L z 4 8 R W 5 0 c n k g V H l w Z T 0 i R m l s b G V k Q 2 9 t c G x l d G V S Z X N 1 b H R U b 1 d v c m t z a G V l d C I g V m F s d W U 9 I m w x I i A v P j x F b n R y e S B U e X B l P S J G a W x s Q 2 9 s d W 1 u V H l w Z X M i I F Z h b H V l P S J z Q l E 9 P S I g L z 4 8 R W 5 0 c n k g V H l w Z T 0 i U X V l c n l J R C I g V m F s d W U 9 I n M z N T g w N D A 0 Y i 0 w N T J l L T Q x N j E t Y m Y 4 N i 0 1 O T Y 2 M T V i N T I 2 Z m U i I C 8 + P E V u d H J 5 I F R 5 c G U 9 I k Z p b G x T d G F 0 d X M i I F Z h b H V l P S J z Q 2 9 t c G x l d G U i I C 8 + P C 9 T d G F i b G V F b n R y a W V z P j w v S X R l b T 4 8 S X R l b T 4 8 S X R l b U x v Y 2 F 0 a W 9 u P j x J d G V t V H l w Z T 5 G b 3 J t d W x h P C 9 J d G V t V H l w Z T 4 8 S X R l b V B h d G g + U 2 V j d G l v b j E v S W 5 2 Q 2 9 u c 3 Q v U 2 9 1 c m N l P C 9 J d G V t U G F 0 a D 4 8 L 0 l 0 Z W 1 M b 2 N h d G l v b j 4 8 U 3 R h Y m x l R W 5 0 c m l l c y A v P j w v S X R l b T 4 8 S X R l b T 4 8 S X R l b U x v Y 2 F 0 a W 9 u P j x J d G V t V H l w Z T 5 G b 3 J t d W x h P C 9 J d G V t V H l w Z T 4 8 S X R l b V B h d G g + U 2 V j d G l v b j E v V 2 F 0 Z X I l M j B Q Z X J p b 2 R z L 0 Z p b H R l c m V k J T I w U m 9 3 c z w v S X R l b V B h d G g + P C 9 J d G V t T G 9 j Y X R p b 2 4 + P F N 0 Y W J s Z U V u d H J p Z X M g L z 4 8 L 0 l 0 Z W 0 + P E l 0 Z W 0 + P E l 0 Z W 1 M b 2 N h d G l v b j 4 8 S X R l b V R 5 c G U + R m 9 y b X V s Y T w v S X R l b V R 5 c G U + P E l 0 Z W 1 Q Y X R o P l N l Y 3 R p b 2 4 x L 1 d h d G V y J T I w U G V y a W 9 k c y 9 B Z G Q l M j B F c 2 N h b G F 0 Z W Q l M j B D b 3 N 0 c z w v S X R l b V B h d G g + P C 9 J d G V t T G 9 j Y X R p b 2 4 + P F N 0 Y W J s Z U V u d H J p Z X M g L z 4 8 L 0 l 0 Z W 0 + P E l 0 Z W 0 + P E l 0 Z W 1 M b 2 N h d G l v b j 4 8 S X R l b V R 5 c G U + R m 9 y b X V s Y T w v S X R l b V R 5 c G U + P E l 0 Z W 1 Q Y X R o P l N l Y 3 R p b 2 4 x L 1 d h d G V y J T I w U G V y a W 9 k c y 9 B Z G Q l M j B D b 2 5 z d H J 1 Y 3 R p b 2 4 l M j B J b n R l c m V z d C U y M E N v c 3 R z P C 9 J d G V t U G F 0 a D 4 8 L 0 l 0 Z W 1 M b 2 N h d G l v b j 4 8 U 3 R h Y m x l R W 5 0 c m l l c y A v P j w v S X R l b T 4 8 S X R l b T 4 8 S X R l b U x v Y 2 F 0 a W 9 u P j x J d G V t V H l w Z T 5 G b 3 J t d W x h P C 9 J d G V t V H l w Z T 4 8 S X R l b V B h d G g + U 2 V j d G l v b j E v R m l y Z U N v c 3 Q 8 L 0 l 0 Z W 1 Q Y X R o P j w v S X R l b U x v Y 2 F 0 a W 9 u P j x T d G F i b G V F b n R y a W V z P j x F b n R y e S B U e X B l P S J J c 1 B y a X Z h d G U i I F Z h b H V l P S J s M C I g L z 4 8 R W 5 0 c n k g V H l w Z T 0 i T m F t Z V V w Z G F 0 Z W R B Z n R l c k Z p b G w i I F Z h b H V l P S J s M C I g L z 4 8 R W 5 0 c n k g V H l w Z T 0 i R m l s b E V u Y W J s Z W Q i I F Z h b H V l P S J s M S I g L z 4 8 R W 5 0 c n k g V H l w Z T 0 i R m l s b E 9 i a m V j d F R 5 c G U i I F Z h b H V l P S J z V G F i b G U i I C 8 + P E V u d H J 5 I F R 5 c G U 9 I k Z p b G x U b 0 R h d G F N b 2 R l b E V u Y W J s Z W Q i I F Z h b H V l P S J s M C I g L z 4 8 R W 5 0 c n k g V H l w Z T 0 i U m V z d W x 0 V H l w Z S I g V m F s d W U 9 I n N O d W 1 i Z X I i I C 8 + P E V u d H J 5 I F R 5 c G U 9 I k J 1 Z m Z l c k 5 l e H R S Z W Z y Z X N o I i B W Y W x 1 Z T 0 i b D E i I C 8 + P E V u d H J 5 I F R 5 c G U 9 I k Z p b G x M Y X N 0 V X B k Y X R l Z C I g V m F s d W U 9 I m Q y M D E 5 L T A 4 L T I y V D E y O j E w O j I w L j M z M z I 4 N z h a I i A v P j x F b n R y e S B U e X B l P S J G a W x s Q 2 9 1 b n Q i I F Z h b H V l P S J s M S I g L z 4 8 R W 5 0 c n k g V H l w Z T 0 i R m l s b F R h c m d l d C I g V m F s d W U 9 I n N G a X J l Q 2 9 z d C I g L z 4 8 R W 5 0 c n k g V H l w Z T 0 i R m l s b F N 0 Y X R 1 c y I g V m F s d W U 9 I n N D b 2 1 w b G V 0 Z S I g L z 4 8 R W 5 0 c n k g V H l w Z T 0 i R m l s b E V y c m 9 y Q 2 9 1 b n Q i I F Z h b H V l P S J s M C I g L z 4 8 R W 5 0 c n k g V H l w Z T 0 i R m l s b E N v b H V t b l R 5 c G V z I i B W Y W x 1 Z T 0 i c 0 J R P T 0 i I C 8 + P E V u d H J 5 I F R 5 c G U 9 I k Z p b G x D b 2 x 1 b W 5 O Y W 1 l c y I g V m F s d W U 9 I n N b J n F 1 b 3 Q 7 R m l y Z U N v c 3 Q m c X V v d D t d I i A v P j x F b n R y e S B U e X B l P S J B Z G R l Z F R v R G F 0 Y U 1 v Z G V s I i B W Y W x 1 Z T 0 i b D A i I C 8 + P E V u d H J 5 I F R 5 c G U 9 I k Z p b G x l Z E N v b X B s Z X R l U m V z d W x 0 V G 9 X b 3 J r c 2 h l Z X Q i I F Z h b H V l P S J s M S I g L z 4 8 R W 5 0 c n k g V H l w Z T 0 i R m l s b E V y c m 9 y Q 2 9 k Z S I g V m F s d W U 9 I n N V b m t u b 3 d u I i A v P j x F b n R y e S B U e X B l P S J R d W V y e U l E I i B W Y W x 1 Z T 0 i c 2 E z Z D U 4 N z h l L W Y w M m U t N D E z N S 0 5 N z A 4 L T c w O T N h O T F i Z m M 0 Z C I g L z 4 8 R W 5 0 c n k g V H l w Z T 0 i U m V s Y X R p b 2 5 z a G l w S W 5 m b 0 N v b n R h a W 5 l c i I g V m F s d W U 9 I n N 7 J n F 1 b 3 Q 7 Y 2 9 s d W 1 u Q 2 9 1 b n Q m c X V v d D s 6 M S w m c X V v d D t r Z X l D b 2 x 1 b W 5 O Y W 1 l c y Z x d W 9 0 O z p b X S w m c X V v d D t x d W V y e V J l b G F 0 a W 9 u c 2 h p c H M m c X V v d D s 6 W 1 0 s J n F 1 b 3 Q 7 Y 2 9 s d W 1 u S W R l b n R p d G l l c y Z x d W 9 0 O z p b J n F 1 b 3 Q 7 U 2 V j d G l v b j E v R m l y Z U N v c 3 Q v Q X V 0 b 1 J l b W 9 2 Z W R D b 2 x 1 b W 5 z M S 5 7 R m l y Z U N v c 3 Q s M H 0 m c X V v d D t d L C Z x d W 9 0 O 0 N v b H V t b k N v d W 5 0 J n F 1 b 3 Q 7 O j E s J n F 1 b 3 Q 7 S 2 V 5 Q 2 9 s d W 1 u T m F t Z X M m c X V v d D s 6 W 1 0 s J n F 1 b 3 Q 7 Q 2 9 s d W 1 u S W R l b n R p d G l l c y Z x d W 9 0 O z p b J n F 1 b 3 Q 7 U 2 V j d G l v b j E v R m l y Z U N v c 3 Q v Q X V 0 b 1 J l b W 9 2 Z W R D b 2 x 1 b W 5 z M S 5 7 R m l y Z U N v c 3 Q s M H 0 m c X V v d D t d L C Z x d W 9 0 O 1 J l b G F 0 a W 9 u c 2 h p c E l u Z m 8 m c X V v d D s 6 W 1 1 9 I i A v P j w v U 3 R h Y m x l R W 5 0 c m l l c z 4 8 L 0 l 0 Z W 0 + P E l 0 Z W 0 + P E l 0 Z W 1 M b 2 N h d G l v b j 4 8 S X R l b V R 5 c G U + R m 9 y b X V s Y T w v S X R l b V R 5 c G U + P E l 0 Z W 1 Q Y X R o P l N l Y 3 R p b 2 4 x L 0 Z p c m V D b 3 N 0 L 1 N v d X J j Z T w v S X R l b V B h d G g + P C 9 J d G V t T G 9 j Y X R p b 2 4 + P F N 0 Y W J s Z U V u d H J p Z X M g L z 4 8 L 0 l 0 Z W 0 + P E l 0 Z W 0 + P E l 0 Z W 1 M b 2 N h d G l v b j 4 8 S X R l b V R 5 c G U + R m 9 y b X V s Y T w v S X R l b V R 5 c G U + P E l 0 Z W 1 Q Y X R o P l N l Y 3 R p b 2 4 x L 1 d h d G V y J T I w U G V y a W 9 k c y 9 B Z G R l Z C U y M E Z p c m U l M j B Q c m 9 0 Z W N 0 a W 9 u J T I w Q 2 9 z d D w v S X R l b V B h d G g + P C 9 J d G V t T G 9 j Y X R p b 2 4 + P F N 0 Y W J s Z U V u d H J p Z X M g L z 4 8 L 0 l 0 Z W 0 + P E l 0 Z W 0 + P E l 0 Z W 1 M b 2 N h d G l v b j 4 8 S X R l b V R 5 c G U + R m 9 y b X V s Y T w v S X R l b V R 5 c G U + P E l 0 Z W 1 Q Y X R o P l N l Y 3 R p b 2 4 x L 1 d h d G V y J T I w U G V y a W 9 k c y 9 B Z G Q l M j B U b 3 R h b C U y M F J E Q z w v S X R l b V B h d G g + P C 9 J d G V t T G 9 j Y X R p b 2 4 + P F N 0 Y W J s Z U V u d H J p Z X M g L z 4 8 L 0 l 0 Z W 0 + P E l 0 Z W 0 + P E l 0 Z W 1 M b 2 N h d G l v b j 4 8 S X R l b V R 5 c G U + R m 9 y b X V s Y T w v S X R l b V R 5 c G U + P E l 0 Z W 1 Q Y X R o P l N l Y 3 R p b 2 4 x L 1 d h d G V y J T I w U G V y a W 9 k c y 9 B Z G R l Z C U y M E N 1 c 3 R v b T w v S X R l b V B h d G g + P C 9 J d G V t T G 9 j Y X R p b 2 4 + P F N 0 Y W J s Z U V u d H J p Z X M g L z 4 8 L 0 l 0 Z W 0 + P E l 0 Z W 0 + P E l 0 Z W 1 M b 2 N h d G l v b j 4 8 S X R l b V R 5 c G U + R m 9 y b X V s Y T w v S X R l b V R 5 c G U + P E l 0 Z W 1 Q Y X R o P l N l Y 3 R p b 2 4 x L 1 d h d G V y J T I w U G V y a W 9 k c y 9 B Z G Q l M j B C Z W 5 l Z m l 0 J T I w d G 8 l M j B F e G l z d G l u Z z w v S X R l b V B h d G g + P C 9 J d G V t T G 9 j Y X R p b 2 4 + P F N 0 Y W J s Z U V u d H J p Z X M g L z 4 8 L 0 l 0 Z W 0 + P E l 0 Z W 0 + P E l 0 Z W 1 M b 2 N h d G l v b j 4 8 S X R l b V R 5 c G U + R m 9 y b X V s Y T w v S X R l b V R 5 c G U + P E l 0 Z W 1 Q Y X R o P l N l Y 3 R p b 2 4 x L 1 d h d G V y J T I w U G V y a W 9 k c y 9 B Z G R l Z C U y M E N 1 c 3 R v b T E 8 L 0 l 0 Z W 1 Q Y X R o P j w v S X R l b U x v Y 2 F 0 a W 9 u P j x T d G F i b G V F b n R y a W V z I C 8 + P C 9 J d G V t P j x J d G V t P j x J d G V t T G 9 j Y X R p b 2 4 + P E l 0 Z W 1 U e X B l P k Z v c m 1 1 b G E 8 L 0 l 0 Z W 1 U e X B l P j x J d G V t U G F 0 a D 5 T Z W N 0 a W 9 u M S 9 X Y X R l c i U y M F B l c m l v Z H M v Q W R k Z W Q l M j B D d X N 0 b 2 0 y P C 9 J d G V t U G F 0 a D 4 8 L 0 l 0 Z W 1 M b 2 N h d G l v b j 4 8 U 3 R h Y m x l R W 5 0 c m l l c y A v P j w v S X R l b T 4 8 S X R l b T 4 8 S X R l b U x v Y 2 F 0 a W 9 u P j x J d G V t V H l w Z T 5 G b 3 J t d W x h P C 9 J d G V t V H l w Z T 4 8 S X R l b V B h d G g + U 2 V j d G l v b j E v V 2 F 0 Z X I l M j B Q Z X J p b 2 R z L 1 J l c G x h Y 2 U l M j A y M D E 2 J T I w Z m 9 y J T I w M j A y M D w v S X R l b V B h d G g + P C 9 J d G V t T G 9 j Y X R p b 2 4 + P F N 0 Y W J s Z U V u d H J p Z X M g L z 4 8 L 0 l 0 Z W 0 + P C 9 J d G V t c z 4 8 L 0 x v Y 2 F s U G F j a 2 F n Z U 1 l d G F k Y X R h R m l s Z T 4 W A A A A U E s F B g A A A A A A A A A A A A A A A A A A A A A A A N o A A A A B A A A A 0 I y d 3 w E V 0 R G M e g D A T 8 K X 6 w E A A A A E j o N 5 o S w f R I 1 S v X x n r D z i A A A A A A I A A A A A A A N m A A D A A A A A E A A A A B / n i s n O O f b C x 8 N S 2 u j 5 P h g A A A A A B I A A A K A A A A A Q A A A A b M F j Y N q Q k K d A K D x 8 Z y c H d 1 A A A A C o F 9 u u l R M 0 Z s Y N 6 W 1 E b H u S Y t F P v o + R 6 z 3 E I K H R 8 I C V m K I O o P B T F E V q T M p B j / U j a r J T 0 A L t V I M u 1 c y A v e L e V K n 1 W W Z d 5 D b 3 B s 9 k 0 5 U 3 + e J n 4 R Q A A A D Y x a x Z a P / p v 2 H l h z b G g d d A h m o J V w = = < / D a t a M a s h u p > 
</file>

<file path=customXml/itemProps1.xml><?xml version="1.0" encoding="utf-8"?>
<ds:datastoreItem xmlns:ds="http://schemas.openxmlformats.org/officeDocument/2006/customXml" ds:itemID="{F4FAD23D-F89D-4CCE-8D0D-905DEC434D6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11</vt:i4>
      </vt:variant>
    </vt:vector>
  </HeadingPairs>
  <TitlesOfParts>
    <vt:vector size="31" baseType="lpstr">
      <vt:lpstr>Fire Cost</vt:lpstr>
      <vt:lpstr>Other Data</vt:lpstr>
      <vt:lpstr>Sheet4</vt:lpstr>
      <vt:lpstr>Sheet3</vt:lpstr>
      <vt:lpstr>Sheet5</vt:lpstr>
      <vt:lpstr>Water - Phase Costs Linked</vt:lpstr>
      <vt:lpstr>Population Projections</vt:lpstr>
      <vt:lpstr>Water - Phase Costs</vt:lpstr>
      <vt:lpstr>Water - Financial Model</vt:lpstr>
      <vt:lpstr>Water - Charge</vt:lpstr>
      <vt:lpstr>Wastewater - Phase Costs</vt:lpstr>
      <vt:lpstr>Wastewater - Financial Model</vt:lpstr>
      <vt:lpstr>Wastewater - Charge</vt:lpstr>
      <vt:lpstr>Financial Assumptions</vt:lpstr>
      <vt:lpstr>Escalation Factors</vt:lpstr>
      <vt:lpstr>Canadian Interest Rates</vt:lpstr>
      <vt:lpstr>BofC Bonds</vt:lpstr>
      <vt:lpstr>Non-Res Constr</vt:lpstr>
      <vt:lpstr>CPI</vt:lpstr>
      <vt:lpstr>Non-Res Constr raw data</vt:lpstr>
      <vt:lpstr>ConstructionInterest</vt:lpstr>
      <vt:lpstr>FireProtection</vt:lpstr>
      <vt:lpstr>'Canadian Interest Rates'!Print_Area</vt:lpstr>
      <vt:lpstr>'Financial Assumptions'!Print_Area</vt:lpstr>
      <vt:lpstr>'Population Projections'!Print_Area</vt:lpstr>
      <vt:lpstr>'Wastewater - Charge'!Print_Area</vt:lpstr>
      <vt:lpstr>'Wastewater - Financial Model'!Print_Area</vt:lpstr>
      <vt:lpstr>'Wastewater - Phase Costs'!Print_Area</vt:lpstr>
      <vt:lpstr>'Water - Charge'!Print_Area</vt:lpstr>
      <vt:lpstr>'Water - Financial Model'!Print_Area</vt:lpstr>
      <vt:lpstr>'Water - Phase Costs'!Print_Area</vt:lpstr>
    </vt:vector>
  </TitlesOfParts>
  <Company>hrwc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keving@halifaxwater.ca</dc:creator>
  <cp:lastModifiedBy>Brittany Smith</cp:lastModifiedBy>
  <cp:lastPrinted>2020-07-10T13:46:50Z</cp:lastPrinted>
  <dcterms:created xsi:type="dcterms:W3CDTF">2008-02-29T20:15:05Z</dcterms:created>
  <dcterms:modified xsi:type="dcterms:W3CDTF">2025-01-10T18:24:53Z</dcterms:modified>
</cp:coreProperties>
</file>